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8683.06 VTrans - Grant Writing Asst\Technical\BCA\"/>
    </mc:Choice>
  </mc:AlternateContent>
  <xr:revisionPtr revIDLastSave="0" documentId="13_ncr:1_{DDC39CBA-ABA1-4D4C-AA41-B433A0CDFDBC}" xr6:coauthVersionLast="47" xr6:coauthVersionMax="47" xr10:uidLastSave="{00000000-0000-0000-0000-000000000000}"/>
  <bookViews>
    <workbookView xWindow="-16500" yWindow="-108" windowWidth="16608" windowHeight="8952" tabRatio="862" firstSheet="2" activeTab="6" xr2:uid="{00000000-000D-0000-FFFF-FFFF00000000}"/>
  </bookViews>
  <sheets>
    <sheet name="Benefits-Cost Summary" sheetId="1" r:id="rId1"/>
    <sheet name="Funding Assumptions" sheetId="75" r:id="rId2"/>
    <sheet name="Residual Bridge Value" sheetId="78" r:id="rId3"/>
    <sheet name="Vehicle Operating Cost Savings" sheetId="59" r:id="rId4"/>
    <sheet name="Travel Times Savings" sheetId="54" r:id="rId5"/>
    <sheet name="VHT Savings" sheetId="81" r:id="rId6"/>
    <sheet name="Report Charts" sheetId="83" r:id="rId7"/>
    <sheet name="Health Benefits" sheetId="80" state="hidden" r:id="rId8"/>
    <sheet name="Operation &amp; Maintenance Cost" sheetId="84" state="hidden" r:id="rId9"/>
    <sheet name="Crash Costs Summary" sheetId="61" state="hidden" r:id="rId10"/>
    <sheet name="Crash Costs- SW Barrier" sheetId="79" state="hidden" r:id="rId11"/>
    <sheet name="Crash Costs" sheetId="12" state="hidden" r:id="rId12"/>
  </sheets>
  <definedNames>
    <definedName name="_xlnm.Print_Area" localSheetId="0">'Benefits-Cost Summary'!$A$1:$V$51</definedName>
    <definedName name="_xlnm.Print_Area" localSheetId="11">'Crash Costs'!$A$1:$S$56</definedName>
    <definedName name="_xlnm.Print_Area" localSheetId="9">'Crash Costs Summary'!$A$1:$P$51</definedName>
    <definedName name="_xlnm.Print_Area" localSheetId="10">'Crash Costs- SW Barrier'!$A$1:$S$48</definedName>
    <definedName name="_xlnm.Print_Area" localSheetId="1">'Funding Assumptions'!$A$1:$AF$45</definedName>
    <definedName name="_xlnm.Print_Area" localSheetId="7">'Health Benefits'!$A$1:$P$50</definedName>
    <definedName name="_xlnm.Print_Area" localSheetId="8">'Operation &amp; Maintenance Cost'!$A$1:$AF$45</definedName>
    <definedName name="_xlnm.Print_Area" localSheetId="2">'Residual Bridge Value'!$A$1:$AF$45</definedName>
    <definedName name="_xlnm.Print_Area" localSheetId="4">'Travel Times Savings'!$A$1:$M$60</definedName>
    <definedName name="_xlnm.Print_Area" localSheetId="3">'Vehicle Operating Cost Savings'!$A$1:$P$50</definedName>
    <definedName name="_xlnm.Print_Area" localSheetId="5">'VHT Savings'!$A$1:$P$47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75" l="1"/>
  <c r="L19" i="75"/>
  <c r="C20" i="83" s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Q4" i="83"/>
  <c r="Q1" i="83"/>
  <c r="F40" i="1"/>
  <c r="B74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54" i="83"/>
  <c r="E55" i="83"/>
  <c r="E56" i="83"/>
  <c r="E57" i="83"/>
  <c r="E58" i="83"/>
  <c r="E59" i="83"/>
  <c r="E60" i="83"/>
  <c r="E61" i="83"/>
  <c r="E62" i="83"/>
  <c r="E63" i="83"/>
  <c r="E64" i="83"/>
  <c r="E65" i="83"/>
  <c r="E66" i="83"/>
  <c r="E67" i="83"/>
  <c r="E68" i="83"/>
  <c r="E69" i="83"/>
  <c r="E70" i="83"/>
  <c r="E71" i="83"/>
  <c r="E72" i="83"/>
  <c r="E73" i="83"/>
  <c r="E74" i="83"/>
  <c r="E41" i="83"/>
  <c r="D74" i="83"/>
  <c r="D40" i="1" l="1"/>
  <c r="I14" i="59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3" i="1"/>
  <c r="C12" i="1"/>
  <c r="C20" i="81"/>
  <c r="I15" i="81"/>
  <c r="E16" i="54"/>
  <c r="E11" i="54"/>
  <c r="C45" i="81"/>
  <c r="C44" i="81"/>
  <c r="C43" i="81"/>
  <c r="C42" i="81"/>
  <c r="C41" i="81"/>
  <c r="C40" i="81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5" i="81"/>
  <c r="C24" i="81"/>
  <c r="C23" i="81"/>
  <c r="C22" i="81"/>
  <c r="C21" i="81"/>
  <c r="I14" i="81"/>
  <c r="H14" i="81"/>
  <c r="H13" i="81"/>
  <c r="I13" i="81"/>
  <c r="L15" i="81" s="1"/>
  <c r="K40" i="81"/>
  <c r="K39" i="81"/>
  <c r="L14" i="81"/>
  <c r="M15" i="81"/>
  <c r="J16" i="81"/>
  <c r="J15" i="81"/>
  <c r="J14" i="81"/>
  <c r="J13" i="81"/>
  <c r="M16" i="81"/>
  <c r="K16" i="81"/>
  <c r="K15" i="81"/>
  <c r="M14" i="81"/>
  <c r="M13" i="81"/>
  <c r="K13" i="81"/>
  <c r="K14" i="81"/>
  <c r="P14" i="81"/>
  <c r="P15" i="81" s="1"/>
  <c r="P16" i="81" s="1"/>
  <c r="P17" i="81" s="1"/>
  <c r="P18" i="81" s="1"/>
  <c r="P19" i="81" s="1"/>
  <c r="P20" i="81" s="1"/>
  <c r="P21" i="81" s="1"/>
  <c r="P22" i="81" s="1"/>
  <c r="P23" i="81" s="1"/>
  <c r="P24" i="81" s="1"/>
  <c r="P25" i="81" s="1"/>
  <c r="P26" i="81" s="1"/>
  <c r="P27" i="81" s="1"/>
  <c r="P28" i="81" s="1"/>
  <c r="P29" i="81" s="1"/>
  <c r="P30" i="81" s="1"/>
  <c r="P31" i="81" s="1"/>
  <c r="P32" i="81" s="1"/>
  <c r="P33" i="81" s="1"/>
  <c r="P34" i="81" s="1"/>
  <c r="P35" i="81" s="1"/>
  <c r="P36" i="81" s="1"/>
  <c r="P37" i="81" s="1"/>
  <c r="P38" i="81" s="1"/>
  <c r="P39" i="81" s="1"/>
  <c r="P40" i="81" s="1"/>
  <c r="P41" i="81" s="1"/>
  <c r="P42" i="81" s="1"/>
  <c r="P43" i="81" s="1"/>
  <c r="P44" i="81" s="1"/>
  <c r="P45" i="81" s="1"/>
  <c r="D46" i="59"/>
  <c r="D45" i="59"/>
  <c r="D44" i="59"/>
  <c r="D43" i="59"/>
  <c r="D42" i="59"/>
  <c r="D41" i="59"/>
  <c r="D40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I17" i="59"/>
  <c r="I16" i="59"/>
  <c r="I15" i="59"/>
  <c r="P18" i="59"/>
  <c r="P19" i="59" s="1"/>
  <c r="P20" i="59" s="1"/>
  <c r="P21" i="59" s="1"/>
  <c r="P22" i="59" s="1"/>
  <c r="P23" i="59" s="1"/>
  <c r="P24" i="59" s="1"/>
  <c r="L13" i="81" l="1"/>
  <c r="D47" i="59"/>
  <c r="P25" i="59"/>
  <c r="H13" i="59"/>
  <c r="K13" i="59" s="1"/>
  <c r="I13" i="59"/>
  <c r="C21" i="59"/>
  <c r="K14" i="59"/>
  <c r="E50" i="54"/>
  <c r="E47" i="54"/>
  <c r="E44" i="54"/>
  <c r="L39" i="59"/>
  <c r="C27" i="83"/>
  <c r="C26" i="83"/>
  <c r="F66" i="83"/>
  <c r="F67" i="83"/>
  <c r="F68" i="83"/>
  <c r="F69" i="83"/>
  <c r="F70" i="83"/>
  <c r="F71" i="83"/>
  <c r="F72" i="83"/>
  <c r="F42" i="83"/>
  <c r="F43" i="83"/>
  <c r="F44" i="83"/>
  <c r="F45" i="83"/>
  <c r="F46" i="83"/>
  <c r="F47" i="83"/>
  <c r="F48" i="83"/>
  <c r="F49" i="83"/>
  <c r="F50" i="83"/>
  <c r="F51" i="83"/>
  <c r="F52" i="83"/>
  <c r="F53" i="83"/>
  <c r="F54" i="83"/>
  <c r="F55" i="83"/>
  <c r="F56" i="83"/>
  <c r="F57" i="83"/>
  <c r="F58" i="83"/>
  <c r="F59" i="83"/>
  <c r="F60" i="83"/>
  <c r="F61" i="83"/>
  <c r="F62" i="83"/>
  <c r="F63" i="83"/>
  <c r="F64" i="83"/>
  <c r="F65" i="83"/>
  <c r="F41" i="83"/>
  <c r="F40" i="83"/>
  <c r="B41" i="83"/>
  <c r="G41" i="83"/>
  <c r="J41" i="83" s="1"/>
  <c r="E53" i="54" l="1"/>
  <c r="D42" i="81" s="1"/>
  <c r="C36" i="1" s="1"/>
  <c r="L13" i="59"/>
  <c r="P26" i="59"/>
  <c r="C22" i="59"/>
  <c r="D44" i="81" l="1"/>
  <c r="C38" i="1" s="1"/>
  <c r="D35" i="81"/>
  <c r="C29" i="1" s="1"/>
  <c r="D25" i="81"/>
  <c r="C19" i="1" s="1"/>
  <c r="D40" i="81"/>
  <c r="C34" i="1" s="1"/>
  <c r="D23" i="81"/>
  <c r="C17" i="1" s="1"/>
  <c r="D31" i="81"/>
  <c r="C25" i="1" s="1"/>
  <c r="D33" i="81"/>
  <c r="C27" i="1" s="1"/>
  <c r="D38" i="81"/>
  <c r="C32" i="1" s="1"/>
  <c r="D29" i="81"/>
  <c r="C23" i="1" s="1"/>
  <c r="D39" i="81"/>
  <c r="C33" i="1" s="1"/>
  <c r="D41" i="81"/>
  <c r="C35" i="1" s="1"/>
  <c r="D21" i="81"/>
  <c r="C15" i="1" s="1"/>
  <c r="D43" i="81"/>
  <c r="C37" i="1" s="1"/>
  <c r="D37" i="81"/>
  <c r="C31" i="1" s="1"/>
  <c r="D45" i="81"/>
  <c r="C39" i="1" s="1"/>
  <c r="D20" i="81"/>
  <c r="C14" i="1" s="1"/>
  <c r="D27" i="81"/>
  <c r="C21" i="1" s="1"/>
  <c r="D26" i="81"/>
  <c r="C20" i="1" s="1"/>
  <c r="D28" i="81"/>
  <c r="C22" i="1" s="1"/>
  <c r="D22" i="81"/>
  <c r="C16" i="1" s="1"/>
  <c r="D24" i="81"/>
  <c r="C18" i="1" s="1"/>
  <c r="D34" i="81"/>
  <c r="C28" i="1" s="1"/>
  <c r="D36" i="81"/>
  <c r="C30" i="1" s="1"/>
  <c r="D30" i="81"/>
  <c r="C24" i="1" s="1"/>
  <c r="D32" i="81"/>
  <c r="C26" i="1" s="1"/>
  <c r="P27" i="59"/>
  <c r="C23" i="59"/>
  <c r="L14" i="59"/>
  <c r="P28" i="59" l="1"/>
  <c r="C24" i="59"/>
  <c r="T43" i="84"/>
  <c r="T42" i="84"/>
  <c r="T41" i="84"/>
  <c r="T40" i="84"/>
  <c r="T39" i="84"/>
  <c r="T38" i="84"/>
  <c r="T37" i="84"/>
  <c r="T36" i="84"/>
  <c r="T35" i="84"/>
  <c r="T34" i="84"/>
  <c r="G31" i="84"/>
  <c r="G32" i="84" s="1"/>
  <c r="G33" i="84" s="1"/>
  <c r="G34" i="84" s="1"/>
  <c r="G35" i="84" s="1"/>
  <c r="G36" i="84" s="1"/>
  <c r="G37" i="84" s="1"/>
  <c r="G38" i="84" s="1"/>
  <c r="G39" i="84" s="1"/>
  <c r="G40" i="84" s="1"/>
  <c r="G41" i="84" s="1"/>
  <c r="G42" i="84" s="1"/>
  <c r="G43" i="84" s="1"/>
  <c r="D31" i="84"/>
  <c r="D32" i="84" s="1"/>
  <c r="D33" i="84" s="1"/>
  <c r="D34" i="84" s="1"/>
  <c r="D35" i="84" s="1"/>
  <c r="D36" i="84" s="1"/>
  <c r="D37" i="84" s="1"/>
  <c r="D38" i="84" s="1"/>
  <c r="D39" i="84" s="1"/>
  <c r="D40" i="84" s="1"/>
  <c r="D41" i="84" s="1"/>
  <c r="D42" i="84" s="1"/>
  <c r="D43" i="84" s="1"/>
  <c r="L26" i="84"/>
  <c r="L19" i="84"/>
  <c r="L20" i="84" s="1"/>
  <c r="AB3" i="84"/>
  <c r="V3" i="84"/>
  <c r="D53" i="83"/>
  <c r="I40" i="81"/>
  <c r="I39" i="81"/>
  <c r="M40" i="81"/>
  <c r="M39" i="81"/>
  <c r="M12" i="81"/>
  <c r="L12" i="81"/>
  <c r="K12" i="81"/>
  <c r="Z12" i="75"/>
  <c r="E24" i="83" l="1"/>
  <c r="C24" i="83"/>
  <c r="N39" i="81"/>
  <c r="N40" i="81"/>
  <c r="I16" i="81"/>
  <c r="L16" i="81" s="1"/>
  <c r="D24" i="83"/>
  <c r="P29" i="59"/>
  <c r="C25" i="59"/>
  <c r="O32" i="84"/>
  <c r="T32" i="84" s="1"/>
  <c r="O33" i="84"/>
  <c r="T33" i="84" s="1"/>
  <c r="Z12" i="84"/>
  <c r="L14" i="84" s="1"/>
  <c r="L15" i="84" s="1"/>
  <c r="M12" i="59"/>
  <c r="L12" i="59"/>
  <c r="K12" i="59"/>
  <c r="E25" i="83" l="1"/>
  <c r="C25" i="83"/>
  <c r="E27" i="83"/>
  <c r="D27" i="83"/>
  <c r="D25" i="83"/>
  <c r="P30" i="59"/>
  <c r="C26" i="59"/>
  <c r="J30" i="84"/>
  <c r="T30" i="84" s="1"/>
  <c r="J31" i="84"/>
  <c r="T31" i="84" s="1"/>
  <c r="E26" i="83" l="1"/>
  <c r="D26" i="83"/>
  <c r="P31" i="59"/>
  <c r="C27" i="59"/>
  <c r="P32" i="59" l="1"/>
  <c r="C28" i="59"/>
  <c r="N40" i="59"/>
  <c r="N39" i="59"/>
  <c r="L40" i="59"/>
  <c r="J14" i="12"/>
  <c r="L20" i="75"/>
  <c r="O32" i="75" s="1"/>
  <c r="N9" i="1" s="1"/>
  <c r="L14" i="75"/>
  <c r="L15" i="75" s="1"/>
  <c r="N3" i="61"/>
  <c r="P3" i="81"/>
  <c r="M3" i="54"/>
  <c r="P3" i="12"/>
  <c r="P3" i="61"/>
  <c r="P3" i="59"/>
  <c r="AB3" i="78"/>
  <c r="AB3" i="75"/>
  <c r="D40" i="83"/>
  <c r="E40" i="83"/>
  <c r="J40" i="83" s="1"/>
  <c r="J14" i="59" l="1"/>
  <c r="P33" i="59"/>
  <c r="C29" i="59"/>
  <c r="J31" i="75"/>
  <c r="N8" i="1" s="1"/>
  <c r="J30" i="75"/>
  <c r="N7" i="1" s="1"/>
  <c r="N15" i="1"/>
  <c r="N16" i="1"/>
  <c r="D42" i="83"/>
  <c r="E8" i="1"/>
  <c r="D43" i="83"/>
  <c r="E9" i="1"/>
  <c r="D44" i="83"/>
  <c r="E10" i="1"/>
  <c r="E11" i="1"/>
  <c r="C46" i="83"/>
  <c r="E12" i="1"/>
  <c r="C47" i="83"/>
  <c r="E13" i="1"/>
  <c r="E14" i="1"/>
  <c r="E7" i="1"/>
  <c r="D41" i="83"/>
  <c r="K11" i="61"/>
  <c r="C12" i="61"/>
  <c r="C13" i="61"/>
  <c r="C14" i="61"/>
  <c r="C15" i="61"/>
  <c r="C16" i="61"/>
  <c r="C17" i="61"/>
  <c r="C18" i="61"/>
  <c r="C11" i="61"/>
  <c r="A42" i="61"/>
  <c r="A43" i="61" s="1"/>
  <c r="A44" i="61" s="1"/>
  <c r="A45" i="61" s="1"/>
  <c r="A46" i="61" s="1"/>
  <c r="A47" i="61" s="1"/>
  <c r="A48" i="61" s="1"/>
  <c r="A49" i="61" s="1"/>
  <c r="B42" i="61"/>
  <c r="B43" i="61" s="1"/>
  <c r="B44" i="61" s="1"/>
  <c r="B45" i="61" s="1"/>
  <c r="B46" i="61" s="1"/>
  <c r="B47" i="61" s="1"/>
  <c r="B48" i="61" s="1"/>
  <c r="B49" i="61" s="1"/>
  <c r="D42" i="61"/>
  <c r="E42" i="61"/>
  <c r="F42" i="61"/>
  <c r="G42" i="61"/>
  <c r="H42" i="61"/>
  <c r="D43" i="61"/>
  <c r="E43" i="61"/>
  <c r="F43" i="61"/>
  <c r="G43" i="61"/>
  <c r="H43" i="61"/>
  <c r="D44" i="61"/>
  <c r="E44" i="61"/>
  <c r="F44" i="61"/>
  <c r="G44" i="61"/>
  <c r="H44" i="61"/>
  <c r="D45" i="61"/>
  <c r="E45" i="61"/>
  <c r="F45" i="61"/>
  <c r="G45" i="61"/>
  <c r="H45" i="61"/>
  <c r="D46" i="61"/>
  <c r="E46" i="61"/>
  <c r="F46" i="61"/>
  <c r="G46" i="61"/>
  <c r="H46" i="61"/>
  <c r="D47" i="61"/>
  <c r="E47" i="61"/>
  <c r="F47" i="61"/>
  <c r="G47" i="61"/>
  <c r="H47" i="61"/>
  <c r="D48" i="61"/>
  <c r="E48" i="61"/>
  <c r="F48" i="61"/>
  <c r="G48" i="61"/>
  <c r="H48" i="61"/>
  <c r="D49" i="61"/>
  <c r="E49" i="61"/>
  <c r="F49" i="61"/>
  <c r="G49" i="61"/>
  <c r="H49" i="61"/>
  <c r="S22" i="12"/>
  <c r="H52" i="12"/>
  <c r="I52" i="12" s="1"/>
  <c r="J52" i="12"/>
  <c r="K52" i="12"/>
  <c r="L52" i="12"/>
  <c r="M52" i="12"/>
  <c r="N52" i="12"/>
  <c r="O52" i="12"/>
  <c r="S15" i="12"/>
  <c r="S14" i="12"/>
  <c r="H17" i="12"/>
  <c r="H16" i="12" s="1"/>
  <c r="I16" i="12" s="1"/>
  <c r="H18" i="12"/>
  <c r="S18" i="12"/>
  <c r="S17" i="12"/>
  <c r="S16" i="12"/>
  <c r="B13" i="61"/>
  <c r="B44" i="12"/>
  <c r="N3" i="81"/>
  <c r="K3" i="54"/>
  <c r="N3" i="12"/>
  <c r="N3" i="59"/>
  <c r="M14" i="59" l="1"/>
  <c r="P34" i="59"/>
  <c r="C30" i="59"/>
  <c r="R52" i="12"/>
  <c r="Q52" i="12"/>
  <c r="P52" i="12"/>
  <c r="H15" i="12"/>
  <c r="I18" i="12"/>
  <c r="I17" i="12"/>
  <c r="I27" i="59"/>
  <c r="I26" i="59"/>
  <c r="H26" i="59"/>
  <c r="L16" i="59" s="1"/>
  <c r="J16" i="59" l="1"/>
  <c r="M16" i="59" s="1"/>
  <c r="P35" i="59"/>
  <c r="C31" i="59"/>
  <c r="H16" i="59"/>
  <c r="K16" i="59" s="1"/>
  <c r="S52" i="12"/>
  <c r="C49" i="61" s="1"/>
  <c r="K49" i="61" s="1"/>
  <c r="I15" i="12"/>
  <c r="H14" i="12"/>
  <c r="I14" i="12" s="1"/>
  <c r="C39" i="54"/>
  <c r="D46" i="83" l="1"/>
  <c r="H12" i="1"/>
  <c r="D45" i="83"/>
  <c r="P36" i="59"/>
  <c r="C32" i="59"/>
  <c r="H27" i="59"/>
  <c r="C6" i="1"/>
  <c r="C40" i="83" s="1"/>
  <c r="B14" i="59"/>
  <c r="B15" i="59" s="1"/>
  <c r="B16" i="59" s="1"/>
  <c r="B17" i="59" s="1"/>
  <c r="B18" i="59" s="1"/>
  <c r="B19" i="59" s="1"/>
  <c r="B20" i="59" s="1"/>
  <c r="B21" i="59" s="1"/>
  <c r="B22" i="59" s="1"/>
  <c r="B23" i="59" s="1"/>
  <c r="B24" i="59" s="1"/>
  <c r="B25" i="59" s="1"/>
  <c r="B26" i="59" s="1"/>
  <c r="B27" i="59" s="1"/>
  <c r="B28" i="59" s="1"/>
  <c r="B29" i="59" s="1"/>
  <c r="B30" i="59" s="1"/>
  <c r="B31" i="59" s="1"/>
  <c r="B32" i="59" s="1"/>
  <c r="B33" i="59" s="1"/>
  <c r="B34" i="59" s="1"/>
  <c r="B35" i="59" s="1"/>
  <c r="B36" i="59" s="1"/>
  <c r="B37" i="59" s="1"/>
  <c r="B38" i="59" s="1"/>
  <c r="A14" i="59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L15" i="59" l="1"/>
  <c r="J15" i="59"/>
  <c r="M15" i="59" s="1"/>
  <c r="M17" i="59" s="1"/>
  <c r="C33" i="59"/>
  <c r="P37" i="59"/>
  <c r="H15" i="59"/>
  <c r="A39" i="59"/>
  <c r="B39" i="59"/>
  <c r="B40" i="59" s="1"/>
  <c r="B41" i="59" s="1"/>
  <c r="B42" i="59" s="1"/>
  <c r="B43" i="59" s="1"/>
  <c r="B44" i="59" s="1"/>
  <c r="B45" i="59" s="1"/>
  <c r="B46" i="59" s="1"/>
  <c r="E57" i="54"/>
  <c r="B14" i="81"/>
  <c r="B15" i="81" s="1"/>
  <c r="B16" i="81" s="1"/>
  <c r="B17" i="81" s="1"/>
  <c r="A14" i="8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0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43" i="81" s="1"/>
  <c r="A44" i="81" s="1"/>
  <c r="A45" i="81" s="1"/>
  <c r="M16" i="80"/>
  <c r="I17" i="80"/>
  <c r="K16" i="80"/>
  <c r="I16" i="80"/>
  <c r="I21" i="80"/>
  <c r="O16" i="80"/>
  <c r="I23" i="80"/>
  <c r="B15" i="80"/>
  <c r="B16" i="80" s="1"/>
  <c r="B17" i="80" s="1"/>
  <c r="B14" i="80"/>
  <c r="A7" i="80"/>
  <c r="A8" i="80" s="1"/>
  <c r="A9" i="80" s="1"/>
  <c r="A10" i="80" s="1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V3" i="75"/>
  <c r="V3" i="78"/>
  <c r="U14" i="78"/>
  <c r="U12" i="78"/>
  <c r="B14" i="6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B38" i="61" s="1"/>
  <c r="B39" i="61" s="1"/>
  <c r="B40" i="61" s="1"/>
  <c r="B41" i="61" s="1"/>
  <c r="A12" i="6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C19" i="79"/>
  <c r="C18" i="79"/>
  <c r="B17" i="79"/>
  <c r="C17" i="79" s="1"/>
  <c r="C16" i="79"/>
  <c r="K16" i="61"/>
  <c r="K15" i="61"/>
  <c r="K14" i="61"/>
  <c r="K13" i="61"/>
  <c r="K12" i="61"/>
  <c r="C9" i="61"/>
  <c r="B24" i="12"/>
  <c r="K15" i="59" l="1"/>
  <c r="K17" i="59" s="1"/>
  <c r="P38" i="59"/>
  <c r="C34" i="59"/>
  <c r="J13" i="59"/>
  <c r="M13" i="59" s="1"/>
  <c r="H17" i="59"/>
  <c r="A40" i="59"/>
  <c r="A41" i="59" s="1"/>
  <c r="A42" i="59" s="1"/>
  <c r="A43" i="59" s="1"/>
  <c r="A44" i="59" s="1"/>
  <c r="A45" i="59" s="1"/>
  <c r="A46" i="59" s="1"/>
  <c r="L17" i="59"/>
  <c r="O33" i="75"/>
  <c r="N10" i="1" s="1"/>
  <c r="N40" i="1" s="1"/>
  <c r="N11" i="1"/>
  <c r="N12" i="1"/>
  <c r="N14" i="1"/>
  <c r="N13" i="1"/>
  <c r="J15" i="12"/>
  <c r="M15" i="12" s="1"/>
  <c r="M14" i="12"/>
  <c r="K15" i="12"/>
  <c r="N15" i="12" s="1"/>
  <c r="K14" i="12"/>
  <c r="N14" i="12" s="1"/>
  <c r="K16" i="12"/>
  <c r="N16" i="12" s="1"/>
  <c r="K18" i="12"/>
  <c r="N18" i="12" s="1"/>
  <c r="K17" i="12"/>
  <c r="N17" i="12" s="1"/>
  <c r="J16" i="12"/>
  <c r="M16" i="12" s="1"/>
  <c r="J17" i="12"/>
  <c r="M17" i="12" s="1"/>
  <c r="J18" i="12"/>
  <c r="M18" i="12" s="1"/>
  <c r="K19" i="12"/>
  <c r="N19" i="12" s="1"/>
  <c r="K27" i="12"/>
  <c r="N27" i="12" s="1"/>
  <c r="K35" i="12"/>
  <c r="N35" i="12" s="1"/>
  <c r="K43" i="12"/>
  <c r="N43" i="12" s="1"/>
  <c r="K51" i="12"/>
  <c r="N51" i="12" s="1"/>
  <c r="K22" i="12"/>
  <c r="N22" i="12" s="1"/>
  <c r="K30" i="12"/>
  <c r="N30" i="12" s="1"/>
  <c r="K38" i="12"/>
  <c r="N38" i="12" s="1"/>
  <c r="K46" i="12"/>
  <c r="N46" i="12" s="1"/>
  <c r="K25" i="12"/>
  <c r="N25" i="12" s="1"/>
  <c r="K33" i="12"/>
  <c r="N33" i="12" s="1"/>
  <c r="K41" i="12"/>
  <c r="N41" i="12" s="1"/>
  <c r="K49" i="12"/>
  <c r="N49" i="12" s="1"/>
  <c r="K50" i="12"/>
  <c r="N50" i="12" s="1"/>
  <c r="K20" i="12"/>
  <c r="N20" i="12" s="1"/>
  <c r="K28" i="12"/>
  <c r="N28" i="12" s="1"/>
  <c r="K36" i="12"/>
  <c r="N36" i="12" s="1"/>
  <c r="K44" i="12"/>
  <c r="N44" i="12" s="1"/>
  <c r="K23" i="12"/>
  <c r="N23" i="12" s="1"/>
  <c r="Q23" i="12" s="1"/>
  <c r="K31" i="12"/>
  <c r="N31" i="12" s="1"/>
  <c r="K39" i="12"/>
  <c r="N39" i="12" s="1"/>
  <c r="K47" i="12"/>
  <c r="N47" i="12" s="1"/>
  <c r="K26" i="12"/>
  <c r="N26" i="12" s="1"/>
  <c r="K34" i="12"/>
  <c r="N34" i="12" s="1"/>
  <c r="K42" i="12"/>
  <c r="N42" i="12" s="1"/>
  <c r="K21" i="12"/>
  <c r="N21" i="12" s="1"/>
  <c r="K29" i="12"/>
  <c r="N29" i="12" s="1"/>
  <c r="K37" i="12"/>
  <c r="N37" i="12" s="1"/>
  <c r="K45" i="12"/>
  <c r="N45" i="12" s="1"/>
  <c r="K24" i="12"/>
  <c r="N24" i="12" s="1"/>
  <c r="K32" i="12"/>
  <c r="N32" i="12" s="1"/>
  <c r="K40" i="12"/>
  <c r="N40" i="12" s="1"/>
  <c r="K48" i="12"/>
  <c r="N48" i="12" s="1"/>
  <c r="J22" i="12"/>
  <c r="M22" i="12" s="1"/>
  <c r="J30" i="12"/>
  <c r="M30" i="12" s="1"/>
  <c r="J38" i="12"/>
  <c r="M38" i="12" s="1"/>
  <c r="J46" i="12"/>
  <c r="M46" i="12" s="1"/>
  <c r="J25" i="12"/>
  <c r="M25" i="12" s="1"/>
  <c r="J33" i="12"/>
  <c r="M33" i="12" s="1"/>
  <c r="J41" i="12"/>
  <c r="M41" i="12" s="1"/>
  <c r="J49" i="12"/>
  <c r="M49" i="12" s="1"/>
  <c r="J20" i="12"/>
  <c r="M20" i="12" s="1"/>
  <c r="J28" i="12"/>
  <c r="M28" i="12" s="1"/>
  <c r="J36" i="12"/>
  <c r="M36" i="12" s="1"/>
  <c r="J44" i="12"/>
  <c r="M44" i="12" s="1"/>
  <c r="J23" i="12"/>
  <c r="M23" i="12" s="1"/>
  <c r="P23" i="12" s="1"/>
  <c r="J31" i="12"/>
  <c r="M31" i="12" s="1"/>
  <c r="J39" i="12"/>
  <c r="M39" i="12" s="1"/>
  <c r="J47" i="12"/>
  <c r="M47" i="12" s="1"/>
  <c r="J21" i="12"/>
  <c r="M21" i="12" s="1"/>
  <c r="J26" i="12"/>
  <c r="M26" i="12" s="1"/>
  <c r="J34" i="12"/>
  <c r="M34" i="12" s="1"/>
  <c r="J42" i="12"/>
  <c r="M42" i="12" s="1"/>
  <c r="J50" i="12"/>
  <c r="M50" i="12" s="1"/>
  <c r="J29" i="12"/>
  <c r="M29" i="12" s="1"/>
  <c r="J37" i="12"/>
  <c r="M37" i="12" s="1"/>
  <c r="J45" i="12"/>
  <c r="M45" i="12" s="1"/>
  <c r="J24" i="12"/>
  <c r="M24" i="12" s="1"/>
  <c r="J32" i="12"/>
  <c r="M32" i="12" s="1"/>
  <c r="J40" i="12"/>
  <c r="M40" i="12" s="1"/>
  <c r="J48" i="12"/>
  <c r="M48" i="12" s="1"/>
  <c r="J19" i="12"/>
  <c r="M19" i="12" s="1"/>
  <c r="J27" i="12"/>
  <c r="M27" i="12" s="1"/>
  <c r="J35" i="12"/>
  <c r="M35" i="12" s="1"/>
  <c r="J43" i="12"/>
  <c r="M43" i="12" s="1"/>
  <c r="J51" i="12"/>
  <c r="M51" i="12" s="1"/>
  <c r="J17" i="59"/>
  <c r="U25" i="78"/>
  <c r="U37" i="78" s="1"/>
  <c r="G39" i="1" s="1"/>
  <c r="B18" i="81"/>
  <c r="B18" i="80"/>
  <c r="K7" i="79"/>
  <c r="N7" i="79" s="1"/>
  <c r="J7" i="79"/>
  <c r="S16" i="79"/>
  <c r="S15" i="79"/>
  <c r="S14" i="79"/>
  <c r="S13" i="79"/>
  <c r="S12" i="79"/>
  <c r="S11" i="79"/>
  <c r="S10" i="79"/>
  <c r="S9" i="79"/>
  <c r="S8" i="79"/>
  <c r="H8" i="79"/>
  <c r="H9" i="79" s="1"/>
  <c r="S7" i="79"/>
  <c r="O7" i="79"/>
  <c r="F73" i="83" l="1"/>
  <c r="H39" i="1"/>
  <c r="J39" i="1" s="1"/>
  <c r="P39" i="59"/>
  <c r="C35" i="59"/>
  <c r="D71" i="83"/>
  <c r="D72" i="83"/>
  <c r="D73" i="83"/>
  <c r="D70" i="83"/>
  <c r="D51" i="83"/>
  <c r="D52" i="83"/>
  <c r="D50" i="83"/>
  <c r="D56" i="83"/>
  <c r="D65" i="83"/>
  <c r="D66" i="83"/>
  <c r="D68" i="83"/>
  <c r="D62" i="83"/>
  <c r="D67" i="83"/>
  <c r="D57" i="83"/>
  <c r="D63" i="83"/>
  <c r="D64" i="83"/>
  <c r="D60" i="83"/>
  <c r="D58" i="83"/>
  <c r="D55" i="83"/>
  <c r="D61" i="83"/>
  <c r="D59" i="83"/>
  <c r="D69" i="83"/>
  <c r="I19" i="12"/>
  <c r="B19" i="81"/>
  <c r="B19" i="80"/>
  <c r="I8" i="79"/>
  <c r="L8" i="79" s="1"/>
  <c r="O8" i="79" s="1"/>
  <c r="H10" i="79"/>
  <c r="I9" i="79"/>
  <c r="L9" i="79" s="1"/>
  <c r="O9" i="79" s="1"/>
  <c r="J9" i="79"/>
  <c r="M9" i="79" s="1"/>
  <c r="M7" i="79"/>
  <c r="D49" i="83" l="1"/>
  <c r="D48" i="83"/>
  <c r="D47" i="83"/>
  <c r="H13" i="1"/>
  <c r="P40" i="59"/>
  <c r="C36" i="59"/>
  <c r="D54" i="83"/>
  <c r="H20" i="12"/>
  <c r="H21" i="12" s="1"/>
  <c r="B20" i="81"/>
  <c r="B20" i="80"/>
  <c r="J8" i="79"/>
  <c r="M8" i="79" s="1"/>
  <c r="K8" i="79"/>
  <c r="N8" i="79" s="1"/>
  <c r="H11" i="79"/>
  <c r="I10" i="79"/>
  <c r="K9" i="79"/>
  <c r="N9" i="79" s="1"/>
  <c r="P41" i="59" l="1"/>
  <c r="C37" i="59"/>
  <c r="I20" i="12"/>
  <c r="H22" i="12"/>
  <c r="I21" i="12"/>
  <c r="B21" i="81"/>
  <c r="B21" i="80"/>
  <c r="K10" i="79"/>
  <c r="N10" i="79" s="1"/>
  <c r="L10" i="79"/>
  <c r="O10" i="79" s="1"/>
  <c r="J10" i="79"/>
  <c r="M10" i="79" s="1"/>
  <c r="H12" i="79"/>
  <c r="I11" i="79"/>
  <c r="P42" i="59" l="1"/>
  <c r="C38" i="59"/>
  <c r="H23" i="12"/>
  <c r="I22" i="12"/>
  <c r="B22" i="81"/>
  <c r="B22" i="80"/>
  <c r="L11" i="79"/>
  <c r="O11" i="79" s="1"/>
  <c r="J11" i="79"/>
  <c r="M11" i="79" s="1"/>
  <c r="K11" i="79"/>
  <c r="N11" i="79" s="1"/>
  <c r="I12" i="79"/>
  <c r="H13" i="79"/>
  <c r="P43" i="59" l="1"/>
  <c r="C39" i="59"/>
  <c r="H24" i="12"/>
  <c r="I23" i="12"/>
  <c r="B23" i="81"/>
  <c r="B23" i="80"/>
  <c r="L12" i="79"/>
  <c r="O12" i="79" s="1"/>
  <c r="K12" i="79"/>
  <c r="N12" i="79" s="1"/>
  <c r="J12" i="79"/>
  <c r="M12" i="79" s="1"/>
  <c r="H14" i="79"/>
  <c r="I13" i="79"/>
  <c r="P44" i="59" l="1"/>
  <c r="C40" i="59"/>
  <c r="H25" i="12"/>
  <c r="I24" i="12"/>
  <c r="B24" i="81"/>
  <c r="B24" i="80"/>
  <c r="L13" i="79"/>
  <c r="O13" i="79" s="1"/>
  <c r="J13" i="79"/>
  <c r="M13" i="79" s="1"/>
  <c r="K13" i="79"/>
  <c r="N13" i="79" s="1"/>
  <c r="H15" i="79"/>
  <c r="I14" i="79"/>
  <c r="P45" i="59" l="1"/>
  <c r="C41" i="59"/>
  <c r="H26" i="12"/>
  <c r="I25" i="12"/>
  <c r="B25" i="81"/>
  <c r="B25" i="80"/>
  <c r="L14" i="79"/>
  <c r="O14" i="79" s="1"/>
  <c r="K14" i="79"/>
  <c r="N14" i="79" s="1"/>
  <c r="J14" i="79"/>
  <c r="M14" i="79" s="1"/>
  <c r="I15" i="79"/>
  <c r="H16" i="79"/>
  <c r="P46" i="59" l="1"/>
  <c r="C42" i="59"/>
  <c r="H27" i="12"/>
  <c r="I26" i="12"/>
  <c r="B26" i="81"/>
  <c r="B26" i="80"/>
  <c r="L15" i="79"/>
  <c r="O15" i="79" s="1"/>
  <c r="K15" i="79"/>
  <c r="N15" i="79" s="1"/>
  <c r="J15" i="79"/>
  <c r="M15" i="79" s="1"/>
  <c r="H17" i="79"/>
  <c r="I16" i="79"/>
  <c r="D41" i="54"/>
  <c r="D40" i="54"/>
  <c r="T36" i="75"/>
  <c r="T37" i="75"/>
  <c r="T38" i="75"/>
  <c r="T39" i="75"/>
  <c r="T40" i="75"/>
  <c r="N17" i="1" s="1"/>
  <c r="T41" i="75"/>
  <c r="N18" i="1" s="1"/>
  <c r="T42" i="75"/>
  <c r="N19" i="1" s="1"/>
  <c r="T43" i="75"/>
  <c r="N20" i="1" s="1"/>
  <c r="G31" i="75"/>
  <c r="G32" i="75" s="1"/>
  <c r="G33" i="75" s="1"/>
  <c r="G34" i="75" s="1"/>
  <c r="G35" i="75" s="1"/>
  <c r="G36" i="75" s="1"/>
  <c r="G37" i="75" s="1"/>
  <c r="G38" i="75" s="1"/>
  <c r="G39" i="75" s="1"/>
  <c r="G40" i="75" s="1"/>
  <c r="G41" i="75" s="1"/>
  <c r="G42" i="75" s="1"/>
  <c r="G43" i="75" s="1"/>
  <c r="D31" i="75"/>
  <c r="D32" i="75" s="1"/>
  <c r="D33" i="75" s="1"/>
  <c r="D34" i="75" s="1"/>
  <c r="D35" i="75" s="1"/>
  <c r="D36" i="75" s="1"/>
  <c r="D37" i="75" s="1"/>
  <c r="D38" i="75" s="1"/>
  <c r="D39" i="75" s="1"/>
  <c r="D40" i="75" s="1"/>
  <c r="D41" i="75" s="1"/>
  <c r="D42" i="75" s="1"/>
  <c r="D43" i="75" s="1"/>
  <c r="P47" i="59" l="1"/>
  <c r="C43" i="59"/>
  <c r="H28" i="12"/>
  <c r="I27" i="12"/>
  <c r="B27" i="81"/>
  <c r="B27" i="80"/>
  <c r="L16" i="79"/>
  <c r="O16" i="79" s="1"/>
  <c r="J16" i="79"/>
  <c r="M16" i="79" s="1"/>
  <c r="K16" i="79"/>
  <c r="N16" i="79" s="1"/>
  <c r="H18" i="79"/>
  <c r="I17" i="79"/>
  <c r="C48" i="83" l="1"/>
  <c r="H14" i="1"/>
  <c r="P48" i="59"/>
  <c r="C44" i="59"/>
  <c r="D13" i="81"/>
  <c r="C7" i="1" s="1"/>
  <c r="C49" i="83"/>
  <c r="C50" i="83"/>
  <c r="H29" i="12"/>
  <c r="I28" i="12"/>
  <c r="B28" i="81"/>
  <c r="B28" i="80"/>
  <c r="L17" i="79"/>
  <c r="J17" i="79"/>
  <c r="K17" i="79"/>
  <c r="H19" i="79"/>
  <c r="I18" i="79"/>
  <c r="C73" i="83" l="1"/>
  <c r="C70" i="83"/>
  <c r="C71" i="83"/>
  <c r="C72" i="83"/>
  <c r="P49" i="59"/>
  <c r="C46" i="59" s="1"/>
  <c r="C45" i="59"/>
  <c r="H30" i="12"/>
  <c r="I29" i="12"/>
  <c r="B29" i="81"/>
  <c r="B29" i="80"/>
  <c r="O17" i="79"/>
  <c r="R17" i="79" s="1"/>
  <c r="L18" i="79"/>
  <c r="J18" i="79"/>
  <c r="K18" i="79"/>
  <c r="N17" i="79"/>
  <c r="Q17" i="79" s="1"/>
  <c r="I19" i="79"/>
  <c r="H20" i="79"/>
  <c r="M17" i="79"/>
  <c r="P17" i="79" s="1"/>
  <c r="C56" i="83" l="1"/>
  <c r="C51" i="83"/>
  <c r="C66" i="83"/>
  <c r="C60" i="83"/>
  <c r="C55" i="83"/>
  <c r="C67" i="83"/>
  <c r="C61" i="83"/>
  <c r="C64" i="83"/>
  <c r="C63" i="83"/>
  <c r="C57" i="83"/>
  <c r="C58" i="83"/>
  <c r="C52" i="83"/>
  <c r="C68" i="83"/>
  <c r="C62" i="83"/>
  <c r="C65" i="83"/>
  <c r="C59" i="83"/>
  <c r="C53" i="83"/>
  <c r="C54" i="83"/>
  <c r="H31" i="12"/>
  <c r="I30" i="12"/>
  <c r="D15" i="81"/>
  <c r="C9" i="1" s="1"/>
  <c r="D16" i="81"/>
  <c r="C10" i="1" s="1"/>
  <c r="D14" i="81"/>
  <c r="C8" i="1" s="1"/>
  <c r="C40" i="1" s="1"/>
  <c r="C74" i="83" s="1"/>
  <c r="D17" i="81"/>
  <c r="C11" i="1" s="1"/>
  <c r="B30" i="81"/>
  <c r="B30" i="80"/>
  <c r="H17" i="61"/>
  <c r="H21" i="79"/>
  <c r="I20" i="79"/>
  <c r="L19" i="79"/>
  <c r="J19" i="79"/>
  <c r="K19" i="79"/>
  <c r="M18" i="79"/>
  <c r="P18" i="79" s="1"/>
  <c r="S17" i="79"/>
  <c r="G17" i="61" s="1"/>
  <c r="O18" i="79"/>
  <c r="R18" i="79" s="1"/>
  <c r="N18" i="79"/>
  <c r="Q18" i="79" s="1"/>
  <c r="C45" i="83" l="1"/>
  <c r="H11" i="1"/>
  <c r="H8" i="1"/>
  <c r="C42" i="83"/>
  <c r="H9" i="1"/>
  <c r="C43" i="83"/>
  <c r="H7" i="1"/>
  <c r="C41" i="83"/>
  <c r="H41" i="83" s="1"/>
  <c r="H10" i="1"/>
  <c r="C44" i="83"/>
  <c r="H32" i="12"/>
  <c r="I31" i="12"/>
  <c r="B31" i="81"/>
  <c r="B31" i="80"/>
  <c r="H18" i="61"/>
  <c r="S18" i="79"/>
  <c r="G18" i="61" s="1"/>
  <c r="M19" i="79"/>
  <c r="P19" i="79" s="1"/>
  <c r="O19" i="79"/>
  <c r="R19" i="79" s="1"/>
  <c r="L20" i="79"/>
  <c r="J20" i="79"/>
  <c r="K20" i="79"/>
  <c r="N19" i="79"/>
  <c r="Q19" i="79" s="1"/>
  <c r="I21" i="79"/>
  <c r="H22" i="79"/>
  <c r="J7" i="1" l="1"/>
  <c r="L7" i="1"/>
  <c r="H33" i="12"/>
  <c r="I32" i="12"/>
  <c r="B32" i="81"/>
  <c r="B32" i="80"/>
  <c r="H19" i="61"/>
  <c r="S19" i="79"/>
  <c r="G19" i="61" s="1"/>
  <c r="O20" i="79"/>
  <c r="R20" i="79" s="1"/>
  <c r="M20" i="79"/>
  <c r="P20" i="79" s="1"/>
  <c r="H23" i="79"/>
  <c r="I22" i="79"/>
  <c r="L21" i="79"/>
  <c r="J21" i="79"/>
  <c r="K21" i="79"/>
  <c r="N20" i="79"/>
  <c r="Q20" i="79" s="1"/>
  <c r="H34" i="12" l="1"/>
  <c r="I33" i="12"/>
  <c r="B33" i="81"/>
  <c r="B33" i="80"/>
  <c r="H20" i="61"/>
  <c r="M21" i="79"/>
  <c r="P21" i="79" s="1"/>
  <c r="L22" i="79"/>
  <c r="K22" i="79"/>
  <c r="J22" i="79"/>
  <c r="I23" i="79"/>
  <c r="H24" i="79"/>
  <c r="S20" i="79"/>
  <c r="G20" i="61" s="1"/>
  <c r="O21" i="79"/>
  <c r="R21" i="79" s="1"/>
  <c r="N21" i="79"/>
  <c r="Q21" i="79" s="1"/>
  <c r="H35" i="12" l="1"/>
  <c r="I34" i="12"/>
  <c r="B34" i="81"/>
  <c r="B34" i="80"/>
  <c r="T34" i="75"/>
  <c r="T35" i="75"/>
  <c r="T30" i="75"/>
  <c r="T32" i="75"/>
  <c r="H21" i="61"/>
  <c r="H25" i="79"/>
  <c r="I24" i="79"/>
  <c r="L23" i="79"/>
  <c r="J23" i="79"/>
  <c r="K23" i="79"/>
  <c r="M22" i="79"/>
  <c r="P22" i="79" s="1"/>
  <c r="N22" i="79"/>
  <c r="Q22" i="79" s="1"/>
  <c r="O22" i="79"/>
  <c r="R22" i="79" s="1"/>
  <c r="S21" i="79"/>
  <c r="G21" i="61" s="1"/>
  <c r="T31" i="75" l="1"/>
  <c r="R7" i="1"/>
  <c r="T7" i="1"/>
  <c r="H36" i="12"/>
  <c r="I35" i="12"/>
  <c r="B35" i="81"/>
  <c r="B35" i="80"/>
  <c r="T33" i="75"/>
  <c r="H22" i="61"/>
  <c r="I25" i="79"/>
  <c r="H26" i="79"/>
  <c r="N23" i="79"/>
  <c r="Q23" i="79" s="1"/>
  <c r="S22" i="79"/>
  <c r="G22" i="61" s="1"/>
  <c r="O23" i="79"/>
  <c r="R23" i="79" s="1"/>
  <c r="M23" i="79"/>
  <c r="P23" i="79" s="1"/>
  <c r="L24" i="79"/>
  <c r="J24" i="79"/>
  <c r="K24" i="79"/>
  <c r="A3" i="1"/>
  <c r="H37" i="12" l="1"/>
  <c r="I36" i="12"/>
  <c r="B36" i="81"/>
  <c r="B36" i="80"/>
  <c r="H23" i="61"/>
  <c r="S23" i="79"/>
  <c r="G23" i="61" s="1"/>
  <c r="H27" i="79"/>
  <c r="I26" i="79"/>
  <c r="L25" i="79"/>
  <c r="K25" i="79"/>
  <c r="J25" i="79"/>
  <c r="O24" i="79"/>
  <c r="R24" i="79" s="1"/>
  <c r="N24" i="79"/>
  <c r="Q24" i="79" s="1"/>
  <c r="M24" i="79"/>
  <c r="P24" i="79" s="1"/>
  <c r="H38" i="12" l="1"/>
  <c r="I37" i="12"/>
  <c r="B37" i="81"/>
  <c r="B37" i="80"/>
  <c r="H24" i="61"/>
  <c r="S24" i="79"/>
  <c r="G24" i="61" s="1"/>
  <c r="L26" i="79"/>
  <c r="K26" i="79"/>
  <c r="J26" i="79"/>
  <c r="M25" i="79"/>
  <c r="P25" i="79" s="1"/>
  <c r="I27" i="79"/>
  <c r="H28" i="79"/>
  <c r="N25" i="79"/>
  <c r="Q25" i="79" s="1"/>
  <c r="O25" i="79"/>
  <c r="R25" i="79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A8" i="1"/>
  <c r="B42" i="83" s="1"/>
  <c r="A9" i="1" l="1"/>
  <c r="B43" i="83" s="1"/>
  <c r="H39" i="12"/>
  <c r="I38" i="12"/>
  <c r="B38" i="81"/>
  <c r="B38" i="80"/>
  <c r="R8" i="1"/>
  <c r="C9" i="83" s="1"/>
  <c r="T8" i="1"/>
  <c r="H25" i="61"/>
  <c r="S25" i="79"/>
  <c r="G25" i="61" s="1"/>
  <c r="O26" i="79"/>
  <c r="R26" i="79" s="1"/>
  <c r="H29" i="79"/>
  <c r="I28" i="79"/>
  <c r="L27" i="79"/>
  <c r="J27" i="79"/>
  <c r="K27" i="79"/>
  <c r="N26" i="79"/>
  <c r="Q26" i="79" s="1"/>
  <c r="M26" i="79"/>
  <c r="P26" i="79" s="1"/>
  <c r="J8" i="1" l="1"/>
  <c r="G42" i="83"/>
  <c r="A10" i="1"/>
  <c r="H40" i="12"/>
  <c r="I39" i="12"/>
  <c r="B39" i="81"/>
  <c r="B39" i="80"/>
  <c r="R9" i="1"/>
  <c r="T9" i="1"/>
  <c r="H26" i="61"/>
  <c r="N27" i="79"/>
  <c r="Q27" i="79" s="1"/>
  <c r="M27" i="79"/>
  <c r="P27" i="79" s="1"/>
  <c r="O27" i="79"/>
  <c r="R27" i="79" s="1"/>
  <c r="L28" i="79"/>
  <c r="K28" i="79"/>
  <c r="J28" i="79"/>
  <c r="S26" i="79"/>
  <c r="G26" i="61" s="1"/>
  <c r="I29" i="79"/>
  <c r="H30" i="79"/>
  <c r="J9" i="1" l="1"/>
  <c r="U9" i="1" s="1"/>
  <c r="G43" i="83"/>
  <c r="R10" i="1"/>
  <c r="C10" i="83" s="1"/>
  <c r="B44" i="83"/>
  <c r="A11" i="1"/>
  <c r="B45" i="83" s="1"/>
  <c r="H41" i="12"/>
  <c r="I40" i="12"/>
  <c r="B40" i="81"/>
  <c r="B41" i="81" s="1"/>
  <c r="B42" i="81" s="1"/>
  <c r="B43" i="81" s="1"/>
  <c r="B44" i="81" s="1"/>
  <c r="B45" i="81" s="1"/>
  <c r="B40" i="80"/>
  <c r="T10" i="1"/>
  <c r="S27" i="79"/>
  <c r="G27" i="61" s="1"/>
  <c r="H27" i="61"/>
  <c r="L29" i="79"/>
  <c r="K29" i="79"/>
  <c r="J29" i="79"/>
  <c r="O28" i="79"/>
  <c r="R28" i="79" s="1"/>
  <c r="N28" i="79"/>
  <c r="Q28" i="79" s="1"/>
  <c r="H31" i="79"/>
  <c r="I30" i="79"/>
  <c r="M28" i="79"/>
  <c r="P28" i="79" s="1"/>
  <c r="J10" i="1" l="1"/>
  <c r="G44" i="83"/>
  <c r="A12" i="1"/>
  <c r="B46" i="83" s="1"/>
  <c r="R11" i="1"/>
  <c r="H42" i="12"/>
  <c r="I41" i="12"/>
  <c r="B41" i="80"/>
  <c r="T11" i="1"/>
  <c r="S28" i="79"/>
  <c r="G28" i="61" s="1"/>
  <c r="H28" i="61"/>
  <c r="I31" i="79"/>
  <c r="H32" i="79"/>
  <c r="N29" i="79"/>
  <c r="Q29" i="79" s="1"/>
  <c r="O29" i="79"/>
  <c r="R29" i="79" s="1"/>
  <c r="L30" i="79"/>
  <c r="K30" i="79"/>
  <c r="J30" i="79"/>
  <c r="M29" i="79"/>
  <c r="P29" i="79" s="1"/>
  <c r="J11" i="1" l="1"/>
  <c r="G45" i="83"/>
  <c r="A13" i="1"/>
  <c r="B47" i="83" s="1"/>
  <c r="H43" i="12"/>
  <c r="I42" i="12"/>
  <c r="B42" i="80"/>
  <c r="T12" i="1"/>
  <c r="R12" i="1"/>
  <c r="L8" i="1"/>
  <c r="V8" i="1" s="1"/>
  <c r="H29" i="61"/>
  <c r="N30" i="79"/>
  <c r="Q30" i="79" s="1"/>
  <c r="O30" i="79"/>
  <c r="R30" i="79" s="1"/>
  <c r="S29" i="79"/>
  <c r="G29" i="61" s="1"/>
  <c r="H33" i="79"/>
  <c r="I32" i="79"/>
  <c r="M30" i="79"/>
  <c r="P30" i="79" s="1"/>
  <c r="L31" i="79"/>
  <c r="K31" i="79"/>
  <c r="J31" i="79"/>
  <c r="J12" i="1" l="1"/>
  <c r="G46" i="83"/>
  <c r="A14" i="1"/>
  <c r="B48" i="83" s="1"/>
  <c r="H44" i="12"/>
  <c r="I43" i="12"/>
  <c r="B43" i="80"/>
  <c r="V7" i="1"/>
  <c r="L10" i="1"/>
  <c r="V10" i="1" s="1"/>
  <c r="T13" i="1"/>
  <c r="R13" i="1"/>
  <c r="U8" i="1"/>
  <c r="L9" i="1"/>
  <c r="V9" i="1" s="1"/>
  <c r="F20" i="61"/>
  <c r="F19" i="61"/>
  <c r="F22" i="61"/>
  <c r="D19" i="61"/>
  <c r="F18" i="61"/>
  <c r="D20" i="61"/>
  <c r="E17" i="61"/>
  <c r="H30" i="61"/>
  <c r="S30" i="79"/>
  <c r="G30" i="61" s="1"/>
  <c r="L32" i="79"/>
  <c r="J32" i="79"/>
  <c r="K32" i="79"/>
  <c r="I33" i="79"/>
  <c r="H34" i="79"/>
  <c r="M31" i="79"/>
  <c r="P31" i="79" s="1"/>
  <c r="N31" i="79"/>
  <c r="Q31" i="79" s="1"/>
  <c r="O31" i="79"/>
  <c r="R31" i="79" s="1"/>
  <c r="E40" i="61"/>
  <c r="U10" i="1"/>
  <c r="F29" i="61"/>
  <c r="F26" i="61"/>
  <c r="E36" i="61"/>
  <c r="E32" i="61"/>
  <c r="E33" i="61"/>
  <c r="E26" i="61"/>
  <c r="E27" i="61"/>
  <c r="E41" i="61"/>
  <c r="D38" i="61"/>
  <c r="D27" i="61"/>
  <c r="D37" i="61"/>
  <c r="D33" i="61"/>
  <c r="D36" i="61"/>
  <c r="D24" i="61"/>
  <c r="D29" i="61"/>
  <c r="D34" i="61"/>
  <c r="D35" i="61"/>
  <c r="D30" i="61"/>
  <c r="J13" i="1" l="1"/>
  <c r="G47" i="83"/>
  <c r="A15" i="1"/>
  <c r="B49" i="83" s="1"/>
  <c r="U7" i="1"/>
  <c r="H45" i="12"/>
  <c r="I44" i="12"/>
  <c r="B44" i="80"/>
  <c r="E20" i="61"/>
  <c r="D21" i="61"/>
  <c r="D18" i="61"/>
  <c r="D17" i="61"/>
  <c r="F21" i="61"/>
  <c r="F17" i="61"/>
  <c r="D22" i="61"/>
  <c r="E21" i="61"/>
  <c r="E18" i="61"/>
  <c r="E19" i="61"/>
  <c r="E22" i="61"/>
  <c r="H31" i="61"/>
  <c r="M32" i="79"/>
  <c r="P32" i="79" s="1"/>
  <c r="O32" i="79"/>
  <c r="R32" i="79" s="1"/>
  <c r="H35" i="79"/>
  <c r="I34" i="79"/>
  <c r="L33" i="79"/>
  <c r="J33" i="79"/>
  <c r="K33" i="79"/>
  <c r="S31" i="79"/>
  <c r="G31" i="61" s="1"/>
  <c r="N32" i="79"/>
  <c r="Q32" i="79" s="1"/>
  <c r="D23" i="61"/>
  <c r="F31" i="61"/>
  <c r="F39" i="61"/>
  <c r="D25" i="61"/>
  <c r="D28" i="61"/>
  <c r="F27" i="61"/>
  <c r="E28" i="61"/>
  <c r="F28" i="61"/>
  <c r="F38" i="61"/>
  <c r="F32" i="61"/>
  <c r="F35" i="61"/>
  <c r="F41" i="61"/>
  <c r="F36" i="61"/>
  <c r="F37" i="61"/>
  <c r="F25" i="61"/>
  <c r="F34" i="61"/>
  <c r="F30" i="61"/>
  <c r="F40" i="61"/>
  <c r="F33" i="61"/>
  <c r="F24" i="61"/>
  <c r="F23" i="61"/>
  <c r="E30" i="61"/>
  <c r="E39" i="61"/>
  <c r="E24" i="61"/>
  <c r="E37" i="61"/>
  <c r="E29" i="61"/>
  <c r="E34" i="61"/>
  <c r="E38" i="61"/>
  <c r="E23" i="61"/>
  <c r="E35" i="61"/>
  <c r="E25" i="61"/>
  <c r="E31" i="61"/>
  <c r="D32" i="61"/>
  <c r="D39" i="61"/>
  <c r="D41" i="61"/>
  <c r="D31" i="61"/>
  <c r="D40" i="61"/>
  <c r="D26" i="61"/>
  <c r="J14" i="1" l="1"/>
  <c r="G48" i="83"/>
  <c r="G49" i="83"/>
  <c r="A16" i="1"/>
  <c r="B50" i="83" s="1"/>
  <c r="H46" i="12"/>
  <c r="I45" i="12"/>
  <c r="B45" i="80"/>
  <c r="H32" i="61"/>
  <c r="H33" i="61"/>
  <c r="S32" i="79"/>
  <c r="G32" i="61" s="1"/>
  <c r="M33" i="79"/>
  <c r="P33" i="79" s="1"/>
  <c r="O33" i="79"/>
  <c r="R33" i="79" s="1"/>
  <c r="L34" i="79"/>
  <c r="J34" i="79"/>
  <c r="K34" i="79"/>
  <c r="I35" i="79"/>
  <c r="H36" i="79"/>
  <c r="N33" i="79"/>
  <c r="Q33" i="79" s="1"/>
  <c r="G50" i="83" l="1"/>
  <c r="A17" i="1"/>
  <c r="B51" i="83" s="1"/>
  <c r="K41" i="83"/>
  <c r="I41" i="83"/>
  <c r="H47" i="12"/>
  <c r="I46" i="12"/>
  <c r="B46" i="80"/>
  <c r="S33" i="79"/>
  <c r="G33" i="61" s="1"/>
  <c r="N34" i="79"/>
  <c r="Q34" i="79" s="1"/>
  <c r="O34" i="79"/>
  <c r="R34" i="79" s="1"/>
  <c r="H37" i="79"/>
  <c r="I36" i="79"/>
  <c r="M34" i="79"/>
  <c r="P34" i="79" s="1"/>
  <c r="L35" i="79"/>
  <c r="J35" i="79"/>
  <c r="K35" i="79"/>
  <c r="G51" i="83" l="1"/>
  <c r="A18" i="1"/>
  <c r="B52" i="83" s="1"/>
  <c r="K42" i="83"/>
  <c r="I42" i="83"/>
  <c r="H42" i="83"/>
  <c r="H48" i="12"/>
  <c r="I47" i="12"/>
  <c r="B47" i="80"/>
  <c r="S34" i="79"/>
  <c r="G34" i="61" s="1"/>
  <c r="H34" i="61"/>
  <c r="N35" i="79"/>
  <c r="Q35" i="79" s="1"/>
  <c r="L36" i="79"/>
  <c r="K36" i="79"/>
  <c r="J36" i="79"/>
  <c r="M35" i="79"/>
  <c r="P35" i="79" s="1"/>
  <c r="H38" i="79"/>
  <c r="I37" i="79"/>
  <c r="O35" i="79"/>
  <c r="R35" i="79" s="1"/>
  <c r="G52" i="83" l="1"/>
  <c r="A19" i="1"/>
  <c r="B53" i="83" s="1"/>
  <c r="K43" i="83"/>
  <c r="I43" i="83"/>
  <c r="H43" i="83"/>
  <c r="H49" i="12"/>
  <c r="I48" i="12"/>
  <c r="D48" i="80"/>
  <c r="H35" i="61"/>
  <c r="S35" i="79"/>
  <c r="G35" i="61" s="1"/>
  <c r="H39" i="79"/>
  <c r="I38" i="79"/>
  <c r="M36" i="79"/>
  <c r="P36" i="79" s="1"/>
  <c r="N36" i="79"/>
  <c r="Q36" i="79" s="1"/>
  <c r="O36" i="79"/>
  <c r="R36" i="79" s="1"/>
  <c r="L37" i="79"/>
  <c r="J37" i="79"/>
  <c r="K37" i="79"/>
  <c r="G53" i="83" l="1"/>
  <c r="A20" i="1"/>
  <c r="B54" i="83" s="1"/>
  <c r="K44" i="83"/>
  <c r="I44" i="83"/>
  <c r="H44" i="83"/>
  <c r="H50" i="12"/>
  <c r="I49" i="12"/>
  <c r="H36" i="61"/>
  <c r="S36" i="79"/>
  <c r="G36" i="61" s="1"/>
  <c r="L38" i="79"/>
  <c r="J38" i="79"/>
  <c r="K38" i="79"/>
  <c r="H40" i="79"/>
  <c r="I39" i="79"/>
  <c r="N37" i="79"/>
  <c r="Q37" i="79" s="1"/>
  <c r="M37" i="79"/>
  <c r="P37" i="79" s="1"/>
  <c r="O37" i="79"/>
  <c r="R37" i="79" s="1"/>
  <c r="G54" i="83" l="1"/>
  <c r="A21" i="1"/>
  <c r="B55" i="83" s="1"/>
  <c r="K45" i="83"/>
  <c r="I45" i="83"/>
  <c r="H45" i="83"/>
  <c r="H51" i="12"/>
  <c r="I50" i="12"/>
  <c r="H37" i="61"/>
  <c r="S37" i="79"/>
  <c r="G37" i="61" s="1"/>
  <c r="H41" i="79"/>
  <c r="I40" i="79"/>
  <c r="N38" i="79"/>
  <c r="Q38" i="79" s="1"/>
  <c r="L39" i="79"/>
  <c r="J39" i="79"/>
  <c r="K39" i="79"/>
  <c r="M38" i="79"/>
  <c r="P38" i="79" s="1"/>
  <c r="O38" i="79"/>
  <c r="R38" i="79" s="1"/>
  <c r="G55" i="83" l="1"/>
  <c r="A22" i="1"/>
  <c r="B56" i="83" s="1"/>
  <c r="K46" i="83"/>
  <c r="I46" i="83"/>
  <c r="H46" i="83"/>
  <c r="I51" i="12"/>
  <c r="H38" i="61"/>
  <c r="S38" i="79"/>
  <c r="G38" i="61" s="1"/>
  <c r="M39" i="79"/>
  <c r="P39" i="79" s="1"/>
  <c r="H42" i="79"/>
  <c r="I41" i="79"/>
  <c r="N39" i="79"/>
  <c r="Q39" i="79" s="1"/>
  <c r="O39" i="79"/>
  <c r="R39" i="79" s="1"/>
  <c r="L40" i="79"/>
  <c r="K40" i="79"/>
  <c r="J40" i="79"/>
  <c r="G56" i="83" l="1"/>
  <c r="A23" i="1"/>
  <c r="B57" i="83" s="1"/>
  <c r="K47" i="83"/>
  <c r="I47" i="83"/>
  <c r="H47" i="83"/>
  <c r="H39" i="61"/>
  <c r="H40" i="61"/>
  <c r="S39" i="79"/>
  <c r="G39" i="61" s="1"/>
  <c r="L41" i="79"/>
  <c r="J41" i="79"/>
  <c r="K41" i="79"/>
  <c r="H43" i="79"/>
  <c r="I42" i="79"/>
  <c r="M40" i="79"/>
  <c r="P40" i="79" s="1"/>
  <c r="N40" i="79"/>
  <c r="Q40" i="79" s="1"/>
  <c r="O40" i="79"/>
  <c r="R40" i="79" s="1"/>
  <c r="G57" i="83" l="1"/>
  <c r="A24" i="1"/>
  <c r="B58" i="83" s="1"/>
  <c r="K48" i="83"/>
  <c r="I48" i="83"/>
  <c r="H48" i="83"/>
  <c r="S40" i="79"/>
  <c r="G40" i="61" s="1"/>
  <c r="H44" i="79"/>
  <c r="I43" i="79"/>
  <c r="N41" i="79"/>
  <c r="Q41" i="79" s="1"/>
  <c r="M41" i="79"/>
  <c r="P41" i="79" s="1"/>
  <c r="L42" i="79"/>
  <c r="K42" i="79"/>
  <c r="J42" i="79"/>
  <c r="O41" i="79"/>
  <c r="R41" i="79" s="1"/>
  <c r="G58" i="83" l="1"/>
  <c r="A25" i="1"/>
  <c r="B59" i="83" s="1"/>
  <c r="K49" i="83"/>
  <c r="I49" i="83"/>
  <c r="H49" i="83"/>
  <c r="T14" i="1"/>
  <c r="R14" i="1"/>
  <c r="C11" i="83" s="1"/>
  <c r="H41" i="61"/>
  <c r="S41" i="79"/>
  <c r="G41" i="61" s="1"/>
  <c r="O42" i="79"/>
  <c r="R42" i="79" s="1"/>
  <c r="L43" i="79"/>
  <c r="K43" i="79"/>
  <c r="J43" i="79"/>
  <c r="N42" i="79"/>
  <c r="Q42" i="79" s="1"/>
  <c r="M42" i="79"/>
  <c r="P42" i="79" s="1"/>
  <c r="H45" i="79"/>
  <c r="I44" i="79"/>
  <c r="G59" i="83" l="1"/>
  <c r="A26" i="1"/>
  <c r="B60" i="83" s="1"/>
  <c r="K50" i="83"/>
  <c r="I50" i="83"/>
  <c r="H50" i="83"/>
  <c r="T15" i="1"/>
  <c r="R15" i="1"/>
  <c r="S42" i="79"/>
  <c r="L44" i="79"/>
  <c r="K44" i="79"/>
  <c r="J44" i="79"/>
  <c r="M43" i="79"/>
  <c r="P43" i="79" s="1"/>
  <c r="O43" i="79"/>
  <c r="R43" i="79" s="1"/>
  <c r="H46" i="79"/>
  <c r="I45" i="79"/>
  <c r="N43" i="79"/>
  <c r="Q43" i="79" s="1"/>
  <c r="G60" i="83" l="1"/>
  <c r="A27" i="1"/>
  <c r="B61" i="83" s="1"/>
  <c r="K51" i="83"/>
  <c r="I51" i="83"/>
  <c r="H51" i="83"/>
  <c r="T16" i="1"/>
  <c r="S43" i="79"/>
  <c r="M44" i="79"/>
  <c r="P44" i="79" s="1"/>
  <c r="N44" i="79"/>
  <c r="Q44" i="79" s="1"/>
  <c r="H47" i="79"/>
  <c r="I47" i="79" s="1"/>
  <c r="I46" i="79"/>
  <c r="L45" i="79"/>
  <c r="J45" i="79"/>
  <c r="K45" i="79"/>
  <c r="O44" i="79"/>
  <c r="R44" i="79" s="1"/>
  <c r="G61" i="83" l="1"/>
  <c r="A28" i="1"/>
  <c r="B62" i="83" s="1"/>
  <c r="K52" i="83"/>
  <c r="I52" i="83"/>
  <c r="H52" i="83"/>
  <c r="S48" i="79"/>
  <c r="S44" i="79"/>
  <c r="L47" i="79"/>
  <c r="K47" i="79"/>
  <c r="J47" i="79"/>
  <c r="L46" i="79"/>
  <c r="J46" i="79"/>
  <c r="K46" i="79"/>
  <c r="N45" i="79"/>
  <c r="Q45" i="79" s="1"/>
  <c r="O45" i="79"/>
  <c r="R45" i="79" s="1"/>
  <c r="M45" i="79"/>
  <c r="P45" i="79" s="1"/>
  <c r="G62" i="83" l="1"/>
  <c r="A29" i="1"/>
  <c r="B63" i="83" s="1"/>
  <c r="K53" i="83"/>
  <c r="I53" i="83"/>
  <c r="H53" i="83"/>
  <c r="S45" i="79"/>
  <c r="M47" i="79"/>
  <c r="P47" i="79" s="1"/>
  <c r="N47" i="79"/>
  <c r="Q47" i="79" s="1"/>
  <c r="N46" i="79"/>
  <c r="Q46" i="79" s="1"/>
  <c r="O47" i="79"/>
  <c r="R47" i="79" s="1"/>
  <c r="M46" i="79"/>
  <c r="P46" i="79" s="1"/>
  <c r="O46" i="79"/>
  <c r="R46" i="79" s="1"/>
  <c r="G63" i="83" l="1"/>
  <c r="A30" i="1"/>
  <c r="B64" i="83" s="1"/>
  <c r="K54" i="83"/>
  <c r="I54" i="83"/>
  <c r="H54" i="83"/>
  <c r="S47" i="79"/>
  <c r="S46" i="79"/>
  <c r="G64" i="83" l="1"/>
  <c r="A31" i="1"/>
  <c r="B65" i="83" s="1"/>
  <c r="K55" i="83"/>
  <c r="I55" i="83"/>
  <c r="H55" i="83"/>
  <c r="G65" i="83" l="1"/>
  <c r="A32" i="1"/>
  <c r="B66" i="83" s="1"/>
  <c r="K56" i="83"/>
  <c r="I56" i="83"/>
  <c r="H56" i="83"/>
  <c r="G66" i="83" l="1"/>
  <c r="A33" i="1"/>
  <c r="B67" i="83" s="1"/>
  <c r="K57" i="83"/>
  <c r="I57" i="83"/>
  <c r="H57" i="83"/>
  <c r="C26" i="12"/>
  <c r="K66" i="83" l="1"/>
  <c r="I66" i="83"/>
  <c r="H66" i="83"/>
  <c r="G67" i="83"/>
  <c r="A34" i="1"/>
  <c r="B68" i="83" s="1"/>
  <c r="K58" i="83"/>
  <c r="I58" i="83"/>
  <c r="H58" i="83"/>
  <c r="L15" i="12"/>
  <c r="O15" i="12" s="1"/>
  <c r="L14" i="12"/>
  <c r="O14" i="12" s="1"/>
  <c r="L18" i="12"/>
  <c r="O18" i="12" s="1"/>
  <c r="L17" i="12"/>
  <c r="O17" i="12" s="1"/>
  <c r="L16" i="12"/>
  <c r="O16" i="12" s="1"/>
  <c r="L24" i="12"/>
  <c r="L32" i="12"/>
  <c r="O32" i="12" s="1"/>
  <c r="L40" i="12"/>
  <c r="O40" i="12" s="1"/>
  <c r="L48" i="12"/>
  <c r="O48" i="12" s="1"/>
  <c r="L19" i="12"/>
  <c r="O19" i="12" s="1"/>
  <c r="L27" i="12"/>
  <c r="L35" i="12"/>
  <c r="O35" i="12" s="1"/>
  <c r="L43" i="12"/>
  <c r="O43" i="12" s="1"/>
  <c r="L51" i="12"/>
  <c r="L22" i="12"/>
  <c r="O22" i="12" s="1"/>
  <c r="L30" i="12"/>
  <c r="O30" i="12" s="1"/>
  <c r="L38" i="12"/>
  <c r="O38" i="12" s="1"/>
  <c r="L46" i="12"/>
  <c r="O46" i="12" s="1"/>
  <c r="L31" i="12"/>
  <c r="O31" i="12" s="1"/>
  <c r="L39" i="12"/>
  <c r="O39" i="12" s="1"/>
  <c r="L25" i="12"/>
  <c r="L33" i="12"/>
  <c r="O33" i="12" s="1"/>
  <c r="L41" i="12"/>
  <c r="O41" i="12" s="1"/>
  <c r="L49" i="12"/>
  <c r="L47" i="12"/>
  <c r="O47" i="12" s="1"/>
  <c r="L20" i="12"/>
  <c r="O20" i="12" s="1"/>
  <c r="L28" i="12"/>
  <c r="O28" i="12" s="1"/>
  <c r="L36" i="12"/>
  <c r="O36" i="12" s="1"/>
  <c r="L44" i="12"/>
  <c r="O44" i="12" s="1"/>
  <c r="L23" i="12"/>
  <c r="O23" i="12" s="1"/>
  <c r="R23" i="12" s="1"/>
  <c r="S23" i="12" s="1"/>
  <c r="L26" i="12"/>
  <c r="L34" i="12"/>
  <c r="O34" i="12" s="1"/>
  <c r="L42" i="12"/>
  <c r="O42" i="12" s="1"/>
  <c r="L50" i="12"/>
  <c r="O50" i="12" s="1"/>
  <c r="L21" i="12"/>
  <c r="O21" i="12" s="1"/>
  <c r="L29" i="12"/>
  <c r="O29" i="12" s="1"/>
  <c r="L37" i="12"/>
  <c r="O37" i="12" s="1"/>
  <c r="L45" i="12"/>
  <c r="O45" i="12" s="1"/>
  <c r="Q51" i="12"/>
  <c r="Q50" i="12"/>
  <c r="Q49" i="12"/>
  <c r="P26" i="12"/>
  <c r="P50" i="12"/>
  <c r="P51" i="12"/>
  <c r="P25" i="12"/>
  <c r="P49" i="12"/>
  <c r="Q24" i="12"/>
  <c r="Q27" i="12"/>
  <c r="Q25" i="12"/>
  <c r="Q26" i="12"/>
  <c r="P27" i="12"/>
  <c r="P24" i="12"/>
  <c r="S21" i="12"/>
  <c r="S19" i="12"/>
  <c r="S20" i="12"/>
  <c r="K67" i="83" l="1"/>
  <c r="I67" i="83"/>
  <c r="H67" i="83"/>
  <c r="G68" i="83"/>
  <c r="A35" i="1"/>
  <c r="B69" i="83" s="1"/>
  <c r="K59" i="83"/>
  <c r="I59" i="83"/>
  <c r="H59" i="83"/>
  <c r="S24" i="12"/>
  <c r="C20" i="61"/>
  <c r="O51" i="12"/>
  <c r="R51" i="12" s="1"/>
  <c r="S51" i="12" s="1"/>
  <c r="C48" i="61" s="1"/>
  <c r="K48" i="61" s="1"/>
  <c r="O24" i="12"/>
  <c r="R24" i="12" s="1"/>
  <c r="C21" i="61" s="1"/>
  <c r="O49" i="12"/>
  <c r="R49" i="12" s="1"/>
  <c r="S49" i="12" s="1"/>
  <c r="C46" i="61" s="1"/>
  <c r="K46" i="61" s="1"/>
  <c r="O25" i="12"/>
  <c r="R25" i="12" s="1"/>
  <c r="S25" i="12" s="1"/>
  <c r="O26" i="12"/>
  <c r="R26" i="12" s="1"/>
  <c r="S26" i="12" s="1"/>
  <c r="O27" i="12"/>
  <c r="R27" i="12" s="1"/>
  <c r="S27" i="12" s="1"/>
  <c r="R29" i="12"/>
  <c r="R41" i="12"/>
  <c r="R38" i="12"/>
  <c r="R33" i="12"/>
  <c r="R30" i="12"/>
  <c r="R46" i="12"/>
  <c r="R44" i="12"/>
  <c r="R48" i="12"/>
  <c r="R50" i="12"/>
  <c r="S50" i="12" s="1"/>
  <c r="C47" i="61" s="1"/>
  <c r="K47" i="61" s="1"/>
  <c r="R36" i="12"/>
  <c r="R40" i="12"/>
  <c r="R42" i="12"/>
  <c r="R28" i="12"/>
  <c r="R39" i="12"/>
  <c r="R32" i="12"/>
  <c r="R34" i="12"/>
  <c r="R31" i="12"/>
  <c r="R43" i="12"/>
  <c r="R37" i="12"/>
  <c r="R45" i="12"/>
  <c r="R47" i="12"/>
  <c r="R35" i="12"/>
  <c r="K18" i="61"/>
  <c r="K68" i="83" l="1"/>
  <c r="I68" i="83"/>
  <c r="H68" i="83"/>
  <c r="G69" i="83"/>
  <c r="A36" i="1"/>
  <c r="B70" i="83" s="1"/>
  <c r="K60" i="83"/>
  <c r="I60" i="83"/>
  <c r="H60" i="83"/>
  <c r="K21" i="61"/>
  <c r="E16" i="1" s="1"/>
  <c r="C23" i="61"/>
  <c r="K20" i="61"/>
  <c r="E15" i="1" s="1"/>
  <c r="C22" i="61"/>
  <c r="K22" i="61" s="1"/>
  <c r="E17" i="1" s="1"/>
  <c r="C24" i="61"/>
  <c r="K19" i="61"/>
  <c r="K17" i="61"/>
  <c r="H17" i="1" l="1"/>
  <c r="J17" i="1" s="1"/>
  <c r="H15" i="1"/>
  <c r="J15" i="1" s="1"/>
  <c r="K69" i="83"/>
  <c r="I69" i="83"/>
  <c r="H16" i="1"/>
  <c r="J16" i="1" s="1"/>
  <c r="G70" i="83"/>
  <c r="A37" i="1"/>
  <c r="B71" i="83" s="1"/>
  <c r="K61" i="83"/>
  <c r="I61" i="83"/>
  <c r="H61" i="83"/>
  <c r="J43" i="83"/>
  <c r="J42" i="83"/>
  <c r="U12" i="1"/>
  <c r="L12" i="1"/>
  <c r="V12" i="1" s="1"/>
  <c r="L11" i="1"/>
  <c r="V11" i="1" s="1"/>
  <c r="U11" i="1"/>
  <c r="U13" i="1"/>
  <c r="U14" i="1"/>
  <c r="K70" i="83" l="1"/>
  <c r="I70" i="83"/>
  <c r="H70" i="83"/>
  <c r="G71" i="83"/>
  <c r="A38" i="1"/>
  <c r="B72" i="83" s="1"/>
  <c r="K62" i="83"/>
  <c r="I62" i="83"/>
  <c r="H62" i="83"/>
  <c r="L13" i="1"/>
  <c r="V13" i="1" s="1"/>
  <c r="L14" i="1"/>
  <c r="V14" i="1" s="1"/>
  <c r="R16" i="1"/>
  <c r="K71" i="83" l="1"/>
  <c r="I71" i="83"/>
  <c r="H71" i="83"/>
  <c r="G72" i="83"/>
  <c r="A39" i="1"/>
  <c r="B73" i="83" s="1"/>
  <c r="K63" i="83"/>
  <c r="I63" i="83"/>
  <c r="H63" i="83"/>
  <c r="R17" i="1"/>
  <c r="T17" i="1"/>
  <c r="K72" i="83" l="1"/>
  <c r="I72" i="83"/>
  <c r="H72" i="83"/>
  <c r="G73" i="83"/>
  <c r="K73" i="83" s="1"/>
  <c r="K64" i="83"/>
  <c r="I64" i="83"/>
  <c r="H64" i="83"/>
  <c r="R18" i="1"/>
  <c r="T18" i="1"/>
  <c r="I73" i="83" l="1"/>
  <c r="H73" i="83"/>
  <c r="K65" i="83"/>
  <c r="K74" i="83" s="1"/>
  <c r="I65" i="83"/>
  <c r="H65" i="83"/>
  <c r="T19" i="1"/>
  <c r="R19" i="1"/>
  <c r="I74" i="83" l="1"/>
  <c r="T20" i="1"/>
  <c r="R20" i="1"/>
  <c r="T21" i="1" l="1"/>
  <c r="R21" i="1"/>
  <c r="T22" i="1" l="1"/>
  <c r="R22" i="1"/>
  <c r="T23" i="1" l="1"/>
  <c r="R23" i="1"/>
  <c r="R24" i="1" l="1"/>
  <c r="T24" i="1"/>
  <c r="R25" i="1" l="1"/>
  <c r="T25" i="1"/>
  <c r="T26" i="1" l="1"/>
  <c r="R26" i="1"/>
  <c r="T27" i="1" l="1"/>
  <c r="R27" i="1"/>
  <c r="T28" i="1" l="1"/>
  <c r="T29" i="1" l="1"/>
  <c r="R29" i="1"/>
  <c r="R28" i="1"/>
  <c r="T30" i="1" l="1"/>
  <c r="R30" i="1"/>
  <c r="T31" i="1" l="1"/>
  <c r="R31" i="1"/>
  <c r="R32" i="1" l="1"/>
  <c r="T32" i="1"/>
  <c r="T37" i="1" l="1"/>
  <c r="R37" i="1"/>
  <c r="R33" i="1"/>
  <c r="T33" i="1"/>
  <c r="T38" i="1" l="1"/>
  <c r="R38" i="1"/>
  <c r="R34" i="1"/>
  <c r="T34" i="1"/>
  <c r="T39" i="1" l="1"/>
  <c r="R39" i="1"/>
  <c r="T35" i="1"/>
  <c r="R35" i="1"/>
  <c r="T36" i="1" l="1"/>
  <c r="R36" i="1"/>
  <c r="Q28" i="12" l="1"/>
  <c r="Q29" i="12" l="1"/>
  <c r="T40" i="1" l="1"/>
  <c r="R40" i="1"/>
  <c r="Q30" i="12"/>
  <c r="P28" i="12"/>
  <c r="S28" i="12" s="1"/>
  <c r="K23" i="61" l="1"/>
  <c r="E18" i="1" s="1"/>
  <c r="C25" i="61"/>
  <c r="Q31" i="12"/>
  <c r="P29" i="12"/>
  <c r="H18" i="1" l="1"/>
  <c r="J18" i="1" s="1"/>
  <c r="J44" i="83"/>
  <c r="S29" i="12"/>
  <c r="Q32" i="12"/>
  <c r="P30" i="12"/>
  <c r="K24" i="61" l="1"/>
  <c r="E19" i="1" s="1"/>
  <c r="C26" i="61"/>
  <c r="S30" i="12"/>
  <c r="Q33" i="12"/>
  <c r="P31" i="12"/>
  <c r="H19" i="1" l="1"/>
  <c r="K25" i="61"/>
  <c r="E20" i="1" s="1"/>
  <c r="C27" i="61"/>
  <c r="J45" i="83"/>
  <c r="S31" i="12"/>
  <c r="Q34" i="12"/>
  <c r="P32" i="12"/>
  <c r="H20" i="1" l="1"/>
  <c r="J20" i="1" s="1"/>
  <c r="J19" i="1"/>
  <c r="K26" i="61"/>
  <c r="E21" i="1" s="1"/>
  <c r="C28" i="61"/>
  <c r="K28" i="61" s="1"/>
  <c r="E23" i="1" s="1"/>
  <c r="J46" i="83"/>
  <c r="U15" i="1"/>
  <c r="L15" i="1"/>
  <c r="V15" i="1" s="1"/>
  <c r="S32" i="12"/>
  <c r="Q35" i="12"/>
  <c r="P33" i="12"/>
  <c r="H23" i="1" l="1"/>
  <c r="H21" i="1"/>
  <c r="J21" i="1" s="1"/>
  <c r="K27" i="61"/>
  <c r="E22" i="1" s="1"/>
  <c r="C29" i="61"/>
  <c r="J49" i="83"/>
  <c r="J23" i="1"/>
  <c r="J47" i="83"/>
  <c r="U16" i="1"/>
  <c r="L16" i="1"/>
  <c r="V16" i="1" s="1"/>
  <c r="S33" i="12"/>
  <c r="C30" i="61" s="1"/>
  <c r="Q36" i="12"/>
  <c r="P34" i="12"/>
  <c r="H22" i="1" l="1"/>
  <c r="J22" i="1" s="1"/>
  <c r="J48" i="83"/>
  <c r="U17" i="1"/>
  <c r="L17" i="1"/>
  <c r="V17" i="1" s="1"/>
  <c r="S34" i="12"/>
  <c r="Q37" i="12"/>
  <c r="P35" i="12"/>
  <c r="S35" i="12" s="1"/>
  <c r="K29" i="61" l="1"/>
  <c r="E24" i="1" s="1"/>
  <c r="C31" i="61"/>
  <c r="K30" i="61"/>
  <c r="E25" i="1" s="1"/>
  <c r="C32" i="61"/>
  <c r="L22" i="1"/>
  <c r="V22" i="1" s="1"/>
  <c r="U22" i="1"/>
  <c r="U18" i="1"/>
  <c r="L18" i="1"/>
  <c r="V18" i="1" s="1"/>
  <c r="Q38" i="12"/>
  <c r="P36" i="12"/>
  <c r="S36" i="12" s="1"/>
  <c r="H25" i="1" l="1"/>
  <c r="J25" i="1" s="1"/>
  <c r="U25" i="1" s="1"/>
  <c r="H24" i="1"/>
  <c r="L24" i="1" s="1"/>
  <c r="V24" i="1" s="1"/>
  <c r="J51" i="83"/>
  <c r="K31" i="61"/>
  <c r="E26" i="1" s="1"/>
  <c r="C33" i="61"/>
  <c r="J50" i="83"/>
  <c r="L23" i="1"/>
  <c r="V23" i="1" s="1"/>
  <c r="U23" i="1"/>
  <c r="U19" i="1"/>
  <c r="L19" i="1"/>
  <c r="V19" i="1" s="1"/>
  <c r="Q39" i="12"/>
  <c r="P37" i="12"/>
  <c r="S37" i="12" s="1"/>
  <c r="H26" i="1" l="1"/>
  <c r="J26" i="1" s="1"/>
  <c r="J24" i="1"/>
  <c r="U24" i="1" s="1"/>
  <c r="K32" i="61"/>
  <c r="E27" i="1" s="1"/>
  <c r="C34" i="61"/>
  <c r="J52" i="83"/>
  <c r="L25" i="1"/>
  <c r="V25" i="1" s="1"/>
  <c r="U20" i="1"/>
  <c r="L20" i="1"/>
  <c r="V20" i="1" s="1"/>
  <c r="L21" i="1"/>
  <c r="V21" i="1" s="1"/>
  <c r="U21" i="1"/>
  <c r="Q40" i="12"/>
  <c r="P38" i="12"/>
  <c r="S38" i="12" s="1"/>
  <c r="H27" i="1" l="1"/>
  <c r="J27" i="1" s="1"/>
  <c r="K33" i="61"/>
  <c r="E28" i="1" s="1"/>
  <c r="C35" i="61"/>
  <c r="J53" i="83"/>
  <c r="U26" i="1"/>
  <c r="L26" i="1"/>
  <c r="V26" i="1" s="1"/>
  <c r="Q41" i="12"/>
  <c r="P39" i="12"/>
  <c r="S39" i="12" s="1"/>
  <c r="H28" i="1" l="1"/>
  <c r="K34" i="61"/>
  <c r="E29" i="1" s="1"/>
  <c r="C36" i="61"/>
  <c r="J54" i="83"/>
  <c r="L27" i="1"/>
  <c r="V27" i="1" s="1"/>
  <c r="U27" i="1"/>
  <c r="Q42" i="12"/>
  <c r="P40" i="12"/>
  <c r="H29" i="1" l="1"/>
  <c r="J29" i="1" s="1"/>
  <c r="J28" i="1"/>
  <c r="U28" i="1" s="1"/>
  <c r="J55" i="83"/>
  <c r="L28" i="1"/>
  <c r="V28" i="1" s="1"/>
  <c r="S40" i="12"/>
  <c r="Q43" i="12"/>
  <c r="P41" i="12"/>
  <c r="K35" i="61" l="1"/>
  <c r="E30" i="1" s="1"/>
  <c r="C37" i="61"/>
  <c r="S41" i="12"/>
  <c r="Q44" i="12"/>
  <c r="P42" i="12"/>
  <c r="H30" i="1" l="1"/>
  <c r="K36" i="61"/>
  <c r="E31" i="1" s="1"/>
  <c r="C38" i="61"/>
  <c r="J56" i="83"/>
  <c r="J30" i="1"/>
  <c r="L29" i="1"/>
  <c r="V29" i="1" s="1"/>
  <c r="U29" i="1"/>
  <c r="S42" i="12"/>
  <c r="Q45" i="12"/>
  <c r="P43" i="12"/>
  <c r="H31" i="1" l="1"/>
  <c r="J31" i="1" s="1"/>
  <c r="K37" i="61"/>
  <c r="E32" i="1" s="1"/>
  <c r="C39" i="61"/>
  <c r="J57" i="83"/>
  <c r="U30" i="1"/>
  <c r="L30" i="1"/>
  <c r="V30" i="1" s="1"/>
  <c r="S43" i="12"/>
  <c r="Q46" i="12"/>
  <c r="P44" i="12"/>
  <c r="J66" i="83" l="1"/>
  <c r="H32" i="1"/>
  <c r="J32" i="1" s="1"/>
  <c r="K38" i="61"/>
  <c r="E33" i="1" s="1"/>
  <c r="C40" i="61"/>
  <c r="J58" i="83"/>
  <c r="U31" i="1"/>
  <c r="L31" i="1"/>
  <c r="V31" i="1" s="1"/>
  <c r="S44" i="12"/>
  <c r="Q47" i="12"/>
  <c r="P45" i="12"/>
  <c r="J67" i="83" l="1"/>
  <c r="H33" i="1"/>
  <c r="J33" i="1" s="1"/>
  <c r="K39" i="61"/>
  <c r="E34" i="1" s="1"/>
  <c r="C41" i="61"/>
  <c r="J59" i="83"/>
  <c r="L32" i="1"/>
  <c r="V32" i="1" s="1"/>
  <c r="U32" i="1"/>
  <c r="S45" i="12"/>
  <c r="C42" i="61" s="1"/>
  <c r="K42" i="61" s="1"/>
  <c r="E37" i="1" s="1"/>
  <c r="Q48" i="12"/>
  <c r="P46" i="12"/>
  <c r="J68" i="83" l="1"/>
  <c r="H34" i="1"/>
  <c r="J71" i="83"/>
  <c r="H37" i="1"/>
  <c r="J63" i="83"/>
  <c r="J60" i="83"/>
  <c r="J34" i="1"/>
  <c r="L33" i="1"/>
  <c r="V33" i="1" s="1"/>
  <c r="U33" i="1"/>
  <c r="K40" i="61"/>
  <c r="E35" i="1" s="1"/>
  <c r="S46" i="12"/>
  <c r="C43" i="61" s="1"/>
  <c r="K43" i="61" s="1"/>
  <c r="E38" i="1" s="1"/>
  <c r="P47" i="12"/>
  <c r="J72" i="83" l="1"/>
  <c r="H38" i="1"/>
  <c r="J69" i="83"/>
  <c r="J61" i="83"/>
  <c r="J64" i="83"/>
  <c r="J37" i="1"/>
  <c r="U37" i="1" s="1"/>
  <c r="L37" i="1"/>
  <c r="V37" i="1" s="1"/>
  <c r="K41" i="61"/>
  <c r="E36" i="1" s="1"/>
  <c r="S47" i="12"/>
  <c r="C44" i="61" s="1"/>
  <c r="K44" i="61" s="1"/>
  <c r="E39" i="1" s="1"/>
  <c r="P48" i="12"/>
  <c r="S48" i="12" s="1"/>
  <c r="J73" i="83" l="1"/>
  <c r="J70" i="83"/>
  <c r="H36" i="1"/>
  <c r="J62" i="83"/>
  <c r="J36" i="1"/>
  <c r="U36" i="1" s="1"/>
  <c r="J38" i="1"/>
  <c r="L38" i="1"/>
  <c r="V38" i="1" s="1"/>
  <c r="J65" i="83"/>
  <c r="C45" i="61"/>
  <c r="K45" i="61" s="1"/>
  <c r="S53" i="12"/>
  <c r="L34" i="1"/>
  <c r="V34" i="1" s="1"/>
  <c r="U34" i="1"/>
  <c r="U38" i="1" l="1"/>
  <c r="J74" i="83"/>
  <c r="U39" i="1"/>
  <c r="L39" i="1"/>
  <c r="V39" i="1" s="1"/>
  <c r="L36" i="1"/>
  <c r="V36" i="1" s="1"/>
  <c r="E40" i="1"/>
  <c r="K50" i="61" l="1"/>
  <c r="G40" i="1" l="1"/>
  <c r="F74" i="83" s="1"/>
  <c r="D46" i="81" l="1"/>
  <c r="C69" i="83" l="1"/>
  <c r="H69" i="83" s="1"/>
  <c r="H74" i="83" s="1"/>
  <c r="C4" i="83" s="1"/>
  <c r="H35" i="1"/>
  <c r="J35" i="1" l="1"/>
  <c r="L35" i="1"/>
  <c r="V35" i="1" s="1"/>
  <c r="H40" i="1"/>
  <c r="P49" i="1" s="1"/>
  <c r="U35" i="1" l="1"/>
  <c r="J40" i="1"/>
  <c r="P50" i="1" s="1"/>
  <c r="U40" i="1"/>
  <c r="V40" i="1"/>
  <c r="L40" i="1"/>
  <c r="C12" i="83" l="1"/>
  <c r="C7" i="83" l="1"/>
  <c r="C5" i="83"/>
  <c r="C6" i="83"/>
  <c r="C8" i="83" l="1"/>
</calcChain>
</file>

<file path=xl/sharedStrings.xml><?xml version="1.0" encoding="utf-8"?>
<sst xmlns="http://schemas.openxmlformats.org/spreadsheetml/2006/main" count="575" uniqueCount="287">
  <si>
    <t>Calendar Year</t>
  </si>
  <si>
    <t>Project Year</t>
  </si>
  <si>
    <t>Notes</t>
  </si>
  <si>
    <t>Totals</t>
  </si>
  <si>
    <t>Year</t>
  </si>
  <si>
    <t xml:space="preserve">Type </t>
  </si>
  <si>
    <t>PDO</t>
  </si>
  <si>
    <t>Injury</t>
  </si>
  <si>
    <t>Value of Life Crash Cost by Type</t>
  </si>
  <si>
    <t>Fatal</t>
  </si>
  <si>
    <t>Total</t>
  </si>
  <si>
    <t>Average per year</t>
  </si>
  <si>
    <t>PDO Crashes</t>
  </si>
  <si>
    <t>Injury Crashes</t>
  </si>
  <si>
    <t>Fatal Crashes)</t>
  </si>
  <si>
    <t>Benefits</t>
  </si>
  <si>
    <t>Costs</t>
  </si>
  <si>
    <t xml:space="preserve">Personal </t>
  </si>
  <si>
    <t>Business</t>
  </si>
  <si>
    <t>Personal</t>
  </si>
  <si>
    <t>7% Rate</t>
  </si>
  <si>
    <t>3% Rate</t>
  </si>
  <si>
    <r>
      <t>Project Year</t>
    </r>
    <r>
      <rPr>
        <vertAlign val="superscript"/>
        <sz val="11"/>
        <color theme="1"/>
        <rFont val="Calibri"/>
        <family val="2"/>
        <scheme val="minor"/>
      </rPr>
      <t>1</t>
    </r>
  </si>
  <si>
    <t>Real Dollars</t>
  </si>
  <si>
    <t>7% Discount Rate</t>
  </si>
  <si>
    <t>Benefit Cost Ratio</t>
  </si>
  <si>
    <t xml:space="preserve">Total </t>
  </si>
  <si>
    <t>Fatal Crashes</t>
  </si>
  <si>
    <t>(1)</t>
  </si>
  <si>
    <t>(2)</t>
  </si>
  <si>
    <t>(3)</t>
  </si>
  <si>
    <t>Travel Time (min)</t>
  </si>
  <si>
    <t>DETERMINE VALUE OF BENEFIT OF LESS TRAVEL TIME THROUGH CORRIDOR</t>
  </si>
  <si>
    <t xml:space="preserve">TRAVEL TIME SAVINGS = </t>
  </si>
  <si>
    <t>BUSINESS DAYS PER WEEK</t>
  </si>
  <si>
    <t>WORK WEEKS A YEAR</t>
  </si>
  <si>
    <t>BUSINESS DAYS PER YEAR</t>
  </si>
  <si>
    <t xml:space="preserve">TOTAL TRAVEL TIMES SAVINGS = </t>
  </si>
  <si>
    <t>Private Vehicle</t>
  </si>
  <si>
    <t>Truck Driver</t>
  </si>
  <si>
    <t>Commercial Vehicle</t>
  </si>
  <si>
    <t>Passenger Vehicle</t>
  </si>
  <si>
    <t>Trucks</t>
  </si>
  <si>
    <t>Assuming</t>
  </si>
  <si>
    <t>Passenger Vehicles</t>
  </si>
  <si>
    <t xml:space="preserve">Weighted Cost of Truck = </t>
  </si>
  <si>
    <t>% Trucks x Truck Driver Rate x Vehicle Occupancy</t>
  </si>
  <si>
    <t xml:space="preserve">= </t>
  </si>
  <si>
    <t>Business Passenger Vehicles</t>
  </si>
  <si>
    <t>Personal Passenger Vehicles</t>
  </si>
  <si>
    <t xml:space="preserve">Weighted Cost of Business Passenger Vehicle = </t>
  </si>
  <si>
    <t xml:space="preserve">Weighted Cost of Personal Passenger Vehicle = </t>
  </si>
  <si>
    <t>% Business Passenger Vehicle x Business Passenger Vehicle Rate x Vehicle Occupancy</t>
  </si>
  <si>
    <t>% Personal Passenger Vehicle x Personal Passenger Vehicle Rate x Vehicle Occupancy</t>
  </si>
  <si>
    <t xml:space="preserve">Total Weighted Averages per Vehicle = </t>
  </si>
  <si>
    <t>Weighted Cost of Truck + Weighted Cost of Business Passenger Vehicle + Weighted Cost of Personal Passenger Vehicle</t>
  </si>
  <si>
    <t>Assumptions</t>
  </si>
  <si>
    <t xml:space="preserve">Traffic Growth = </t>
  </si>
  <si>
    <t>Per Year</t>
  </si>
  <si>
    <t>Crashes will increase at same rate as traffic</t>
  </si>
  <si>
    <t>% increase in traffic volume (Compared to 2017 Volumes)</t>
  </si>
  <si>
    <t>Expected Crashes per year based on % increase in traffic volume per year (No-Build)</t>
  </si>
  <si>
    <t>Expected Crashes per year (Build) Using CMF</t>
  </si>
  <si>
    <t>Expected reduction in crashes per year</t>
  </si>
  <si>
    <t>AM Peak Hour</t>
  </si>
  <si>
    <t>PM Peak Hour</t>
  </si>
  <si>
    <t>Reduction</t>
  </si>
  <si>
    <t>Percent Reduction</t>
  </si>
  <si>
    <t>No Build</t>
  </si>
  <si>
    <t>AM</t>
  </si>
  <si>
    <t>PM</t>
  </si>
  <si>
    <t>VHT (hours)</t>
  </si>
  <si>
    <t>VMT (miles)</t>
  </si>
  <si>
    <t>Southbound</t>
  </si>
  <si>
    <t>Northbound</t>
  </si>
  <si>
    <t>Fuel Use (gallons)</t>
  </si>
  <si>
    <t>Gas</t>
  </si>
  <si>
    <t>Diesel</t>
  </si>
  <si>
    <t>Fuel Cost (dollars)</t>
  </si>
  <si>
    <t>Total Fuel Cost Savings Per Day = Fuel Cost Reductions in the AM &amp; PM Peak Hours for both Gas and Diesel</t>
  </si>
  <si>
    <t xml:space="preserve">Total Fuel Cost Savings Per Day = </t>
  </si>
  <si>
    <t>+</t>
  </si>
  <si>
    <t>Total Fuel Cost Savings Per Year</t>
  </si>
  <si>
    <t>Total Fuel Cost Savings Per Day x Business Days Per Year</t>
  </si>
  <si>
    <t>Total Crash Reduction Benefit</t>
  </si>
  <si>
    <t>I-93 Weave Between I-89 and Exit 12</t>
  </si>
  <si>
    <t>I-93 Weave Between Exit 12 and Exit 13</t>
  </si>
  <si>
    <t>Exit 12 Roundabouts</t>
  </si>
  <si>
    <r>
      <t xml:space="preserve">PDO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</si>
  <si>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Injury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</si>
  <si>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Fatality </t>
    </r>
    <r>
      <rPr>
        <vertAlign val="superscript"/>
        <sz val="11"/>
        <color theme="1"/>
        <rFont val="Calibri"/>
        <family val="2"/>
        <scheme val="minor"/>
      </rPr>
      <t>3</t>
    </r>
  </si>
  <si>
    <t>Sources:</t>
  </si>
  <si>
    <t>Table A-2 - Property Damage Only (PDO) Crashes</t>
  </si>
  <si>
    <t>Sources: USDOT Benefit-Cost Analysis Guidance for Discretionary Grant Programs</t>
  </si>
  <si>
    <t>Table A-1 - Value of Reduced Fatalities and Injuries (MAIS 2 - Moderate)</t>
  </si>
  <si>
    <t>Table A-1 - Value of Reduced Fatalities and Injuries (Fatal)</t>
  </si>
  <si>
    <t>(4)</t>
  </si>
  <si>
    <t>5. Use a CMF of 0.75 for installing roundabouts at ramp terminal intersections</t>
  </si>
  <si>
    <t>Category</t>
  </si>
  <si>
    <r>
      <t xml:space="preserve">Recommended Hourly Values of Travel Time Savings (Per Person-Hour) </t>
    </r>
    <r>
      <rPr>
        <vertAlign val="superscript"/>
        <sz val="11"/>
        <color theme="1"/>
        <rFont val="Calibri"/>
        <family val="2"/>
        <scheme val="minor"/>
      </rPr>
      <t>1</t>
    </r>
  </si>
  <si>
    <t>Table A-3 - Value of Travel Time Savings - USDOT Benefit-Cost Analysis Guidance for Discretionary Grant Programs</t>
  </si>
  <si>
    <r>
      <t xml:space="preserve">Estimated Percentage of Personal and Business Travel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</si>
  <si>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Average Vehicle Occupancy </t>
    </r>
    <r>
      <rPr>
        <vertAlign val="superscript"/>
        <sz val="11"/>
        <color theme="1"/>
        <rFont val="Calibri"/>
        <family val="2"/>
        <scheme val="minor"/>
      </rPr>
      <t>3</t>
    </r>
  </si>
  <si>
    <t>Table A-4 - Average Vehicle Occupancy - USDOT Benefit-Cost Analysis Guidance for Discretionary Grant Programs</t>
  </si>
  <si>
    <t>Net Present Value AT 7%</t>
  </si>
  <si>
    <t>Net Present Value AT 3%</t>
  </si>
  <si>
    <t>BENEFIT-COST ANALYSIS</t>
  </si>
  <si>
    <t>Fuel Cost Savings is directly related to the volume of traffic</t>
  </si>
  <si>
    <t>Value of Crash Reductions</t>
  </si>
  <si>
    <t>SCALE</t>
  </si>
  <si>
    <t>PROJECT NO.</t>
  </si>
  <si>
    <t>DATE</t>
  </si>
  <si>
    <t>CHECKED BY</t>
  </si>
  <si>
    <t>CALCULATED BY</t>
  </si>
  <si>
    <t>www.mjinc.com</t>
  </si>
  <si>
    <t>OF</t>
  </si>
  <si>
    <t>SHEET NO.</t>
  </si>
  <si>
    <t>Engineering, Planning &amp; Construction Administration</t>
  </si>
  <si>
    <t>JOB</t>
  </si>
  <si>
    <t>McFARLAND JOHNSON</t>
  </si>
  <si>
    <t>Begin Design Year</t>
  </si>
  <si>
    <t>End Design Year</t>
  </si>
  <si>
    <t>Begin Construction Year</t>
  </si>
  <si>
    <t>End Construction Year</t>
  </si>
  <si>
    <t>=</t>
  </si>
  <si>
    <t>PE/ROW Costs Per Year</t>
  </si>
  <si>
    <t>Construction Costs</t>
  </si>
  <si>
    <t>Construction Costs Per Year</t>
  </si>
  <si>
    <t>Project Opening Year</t>
  </si>
  <si>
    <t>PROJECT FUNDING ASSUMPTIONS</t>
  </si>
  <si>
    <t>Analysis Periond</t>
  </si>
  <si>
    <t>End Analysis Year Year</t>
  </si>
  <si>
    <t>Design Costs</t>
  </si>
  <si>
    <t>Total Project Costs</t>
  </si>
  <si>
    <t>Cost Savings ($2018)</t>
  </si>
  <si>
    <t>RESIDUAL BRIDGE VALUE</t>
  </si>
  <si>
    <t xml:space="preserve">Bridge Opening Year = </t>
  </si>
  <si>
    <t>End of Analysis Year =</t>
  </si>
  <si>
    <t>I-89 Exit 1 NB Off Ramp Intersection with South Street</t>
  </si>
  <si>
    <t>I-89 Exit 1 SB Off Ramp Intersection with South Street</t>
  </si>
  <si>
    <t>Pre-Construction Costs</t>
  </si>
  <si>
    <t>ROW Costs</t>
  </si>
  <si>
    <t>Mitigation Costs</t>
  </si>
  <si>
    <t>Final Design Costs</t>
  </si>
  <si>
    <t>Utility Reloc. Costs</t>
  </si>
  <si>
    <t>Estimated Cost of Bridge</t>
  </si>
  <si>
    <t>Cost ($2020)</t>
  </si>
  <si>
    <t>Crash Modification Factor</t>
  </si>
  <si>
    <r>
      <t>Observed Crashes (20116-2021)</t>
    </r>
    <r>
      <rPr>
        <vertAlign val="superscript"/>
        <sz val="11"/>
        <color theme="1"/>
        <rFont val="Calibri"/>
        <family val="2"/>
        <scheme val="minor"/>
      </rPr>
      <t>4</t>
    </r>
  </si>
  <si>
    <t>Source: Vermont Agency of Transportation</t>
  </si>
  <si>
    <t>WINOOSKI RIVER BRIDGE</t>
  </si>
  <si>
    <t>Sidewalk Barrier Install</t>
  </si>
  <si>
    <t>Vehicle/Bike Crashes</t>
  </si>
  <si>
    <t>Table A-3 - Value of Travel Time Savings - USDOT Benefit-Cost Analysis Guidance for Discretionary Grant Programs, Note 2</t>
  </si>
  <si>
    <t>Estimated Cost of Design</t>
  </si>
  <si>
    <t xml:space="preserve">Total Estimated Project Cost ($2026) = </t>
  </si>
  <si>
    <t xml:space="preserve">Service Life of Bridge = </t>
  </si>
  <si>
    <t>(rounded to nearest 100,000)</t>
  </si>
  <si>
    <t>N.T.S.</t>
  </si>
  <si>
    <t>Alternative 4</t>
  </si>
  <si>
    <t>Value of Health Benefits from Modal Switch to Active Transport</t>
  </si>
  <si>
    <t>Induced Active Transportation Trips (Walking and Biking Combined)</t>
  </si>
  <si>
    <t>Value of Health Benefits ($2020)</t>
  </si>
  <si>
    <t>Vehicle Miles Traveled (VMT)</t>
  </si>
  <si>
    <t>NO BUILD</t>
  </si>
  <si>
    <t>100% CLOSURE</t>
  </si>
  <si>
    <t>Change in VHT</t>
  </si>
  <si>
    <t>Change in VMT</t>
  </si>
  <si>
    <t>VEHICLE HOURS SAVED (Compared to NO BUILD)</t>
  </si>
  <si>
    <t>DAILY VALUES</t>
  </si>
  <si>
    <t>ANNUAL VALUES</t>
  </si>
  <si>
    <t>100% CLOSURE PERIOD</t>
  </si>
  <si>
    <t>Average Annual VMT (Compared to NO BUILD)</t>
  </si>
  <si>
    <t>O&amp;M Light Duty</t>
  </si>
  <si>
    <t>O&amp;M Commercial</t>
  </si>
  <si>
    <t>Light Duty</t>
  </si>
  <si>
    <t>Commercial Duty</t>
  </si>
  <si>
    <t>Cost Savings ($2020)</t>
  </si>
  <si>
    <t>Widen Shoulder 0' to 2'</t>
  </si>
  <si>
    <t>Value of VHT Savings</t>
  </si>
  <si>
    <r>
      <t>Initial Project Costs ($2022)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</si>
  <si>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CMF ID: 8712  PRIOR CONDITION: ROADWAY WITH NARROWER SHOULDERS                                                                   STUDY: </t>
    </r>
    <r>
      <rPr>
        <u/>
        <sz val="9"/>
        <color theme="1"/>
        <rFont val="Calibri"/>
        <family val="2"/>
        <scheme val="minor"/>
      </rPr>
      <t>EVALUATION OF SAFETY EFFECTIVENESS OF MULTIPLE CROSS SECTIONAL FEATURES ON URBAN ARTERIALS, PARK AND ABDEL-ATY, 2016</t>
    </r>
  </si>
  <si>
    <t>Source:</t>
  </si>
  <si>
    <t>www.cmfclearinghouse.org</t>
  </si>
  <si>
    <t>Value of Vehicle Operating Costs Savings</t>
  </si>
  <si>
    <t>Table A-5 - Value of Travel Time Savings - USDOT Benefit-Cost Analysis Guidance for Discretionary Grant Programs</t>
  </si>
  <si>
    <t>Table A-5 - Value of Travel Time Savings - USDOT Benefit-Cost Analysis Guidance for Discretionary Grant Programs, Note 2</t>
  </si>
  <si>
    <t>Table A-1 - Non-Incapacitating Injury Crashes</t>
  </si>
  <si>
    <t>Widen Lanes</t>
  </si>
  <si>
    <r>
      <t xml:space="preserve">CMF ID:3936 INCREASE LANE WIDTH                                                                                                                STUDY: </t>
    </r>
    <r>
      <rPr>
        <u/>
        <sz val="9"/>
        <color theme="1"/>
        <rFont val="Calibri"/>
        <family val="2"/>
        <scheme val="minor"/>
      </rPr>
      <t>A COMPARATIVE FULL BAYESIAN BEFORE-AND-AFTER ANAYLSIS AND APPLICATION TO URBAN ROAD SAFETY COUNTERMEASURES IN NEW JERSEY, YANMAZ-TUZEL AND OZBAY, 2010</t>
    </r>
  </si>
  <si>
    <t>Using the Dominant Common Residuals Method</t>
  </si>
  <si>
    <t>CMF1</t>
  </si>
  <si>
    <t>CMF2</t>
  </si>
  <si>
    <t>CMFT</t>
  </si>
  <si>
    <t>If CMF1 is &lt; CMT, use CMF1 per Dominant Effect Method</t>
  </si>
  <si>
    <t>CMF</t>
  </si>
  <si>
    <t>KABCO - BCA Guidance Table A-1</t>
  </si>
  <si>
    <t>Urban</t>
  </si>
  <si>
    <t>All (KABCO)</t>
  </si>
  <si>
    <t>CMF 3936: Increase Lane Width</t>
  </si>
  <si>
    <t>CMF 8712: Roadway with Narrow Shoulders</t>
  </si>
  <si>
    <t>Area Type</t>
  </si>
  <si>
    <t>Crash Types (Severity)</t>
  </si>
  <si>
    <t>CMF ID Number &amp; Description</t>
  </si>
  <si>
    <t>Change in Delay vs No Build (Hours)</t>
  </si>
  <si>
    <t>Vehicle Hours Traveled (VHT)</t>
  </si>
  <si>
    <t>Maintenance of Traffic Costs</t>
  </si>
  <si>
    <t>Roadway Costs</t>
  </si>
  <si>
    <t>Removal of Structure</t>
  </si>
  <si>
    <t>Benefit-Cost Ratio</t>
  </si>
  <si>
    <t>Total Cost</t>
  </si>
  <si>
    <t>Construction Cost</t>
  </si>
  <si>
    <t>Design/Engineering/ROW Cost</t>
  </si>
  <si>
    <t>Total Benefit</t>
  </si>
  <si>
    <t>Residual Value Benefit</t>
  </si>
  <si>
    <t>Crash Reduction Benefit</t>
  </si>
  <si>
    <t>Vehicle Operating Costs Benefit</t>
  </si>
  <si>
    <t>Discounted Cost</t>
  </si>
  <si>
    <t>Discounting</t>
  </si>
  <si>
    <t>Real Cost</t>
  </si>
  <si>
    <t>Time Savings Benefit</t>
  </si>
  <si>
    <t>CATEGORY</t>
  </si>
  <si>
    <t>Essex BCA - RAISE</t>
  </si>
  <si>
    <t>Non-closure Distance</t>
  </si>
  <si>
    <t>Miles</t>
  </si>
  <si>
    <t>Detour (Full Closure)</t>
  </si>
  <si>
    <t>Minutes</t>
  </si>
  <si>
    <t>Culvert</t>
  </si>
  <si>
    <t>Selected Alternative</t>
  </si>
  <si>
    <t>Scoping Report Cost</t>
  </si>
  <si>
    <t>Final Estimate Cost</t>
  </si>
  <si>
    <t>Elmore BF 0241(55)</t>
  </si>
  <si>
    <t>2B</t>
  </si>
  <si>
    <t>Temp. Bridge</t>
  </si>
  <si>
    <t>WORCESTER BF 0241(56)</t>
  </si>
  <si>
    <t>2C</t>
  </si>
  <si>
    <t>Worcester BF 0241(57)</t>
  </si>
  <si>
    <t>3C</t>
  </si>
  <si>
    <t>Worcester BF 0241(59)</t>
  </si>
  <si>
    <t>4B</t>
  </si>
  <si>
    <t>Elmore STP CULV (64)</t>
  </si>
  <si>
    <t>Daily Values are multiplied by 365 to arrive at annual values.</t>
  </si>
  <si>
    <t>Hours</t>
  </si>
  <si>
    <t>AADT (2023)</t>
  </si>
  <si>
    <t>VMT (2023)</t>
  </si>
  <si>
    <t>AADT (2043)</t>
  </si>
  <si>
    <t>VMT (2043)</t>
  </si>
  <si>
    <t>VHT (2043)</t>
  </si>
  <si>
    <t>Trucks (Per  Scoping Study)</t>
  </si>
  <si>
    <t>ELMORE-WORCESTER BCA - PROTECT</t>
  </si>
  <si>
    <t>Additional Highway Operation &amp; Maintenance Cost</t>
  </si>
  <si>
    <t xml:space="preserve">2. The dollar amount used is a conservative estimate based on the Worcester BF 0241(59) Scoping Report. </t>
  </si>
  <si>
    <t>SRL</t>
  </si>
  <si>
    <t>Full Bridge Closure (2023)</t>
  </si>
  <si>
    <t>Full Bridge Closure (2024)</t>
  </si>
  <si>
    <t>Values in this table have not been updated at this time. Values to be updated as the BCA progresses.</t>
  </si>
  <si>
    <t>Vermont Route 12 Daily Metrics</t>
  </si>
  <si>
    <t>AADT</t>
  </si>
  <si>
    <t>YEAR</t>
  </si>
  <si>
    <t>Closure Days</t>
  </si>
  <si>
    <t>VMT (2030)</t>
  </si>
  <si>
    <t>DAILY VEHICLE HOURS DURING 2043 100% CLOSURE</t>
  </si>
  <si>
    <t>CLOSURE  DAYS PER YEAR</t>
  </si>
  <si>
    <t>VEHICLE HOURS SAVED DURING 2043 100% CLOSURE</t>
  </si>
  <si>
    <t xml:space="preserve">TOTAL ANNUAL SAVINGS OF TRAVEL TIME COSTS YEAR 2043 100% CLOSURE = </t>
  </si>
  <si>
    <t>BRC</t>
  </si>
  <si>
    <t>Proposed Structures Cost Including:</t>
  </si>
  <si>
    <t>Change in VMT vs No Build (Miles)</t>
  </si>
  <si>
    <t>Value of O&amp;M Saved ($2021)</t>
  </si>
  <si>
    <r>
      <t>Emergency Maintenance Cost ($2021)</t>
    </r>
    <r>
      <rPr>
        <vertAlign val="superscript"/>
        <sz val="11"/>
        <color theme="1"/>
        <rFont val="Calibri"/>
        <family val="2"/>
        <scheme val="minor"/>
      </rPr>
      <t>2</t>
    </r>
  </si>
  <si>
    <t>Residual Value of New Bridge                 ($2021)</t>
  </si>
  <si>
    <t>Total Benefits ($2021)</t>
  </si>
  <si>
    <t>Total Benefits ($2021) Discounted 7%</t>
  </si>
  <si>
    <t>Total Benefits ($2021) Discounted 3%</t>
  </si>
  <si>
    <t>Total Costs ($2021) Discounted 7%</t>
  </si>
  <si>
    <t>Value of Time Savings ($2021)</t>
  </si>
  <si>
    <t>IN  2021 DOLLARS</t>
  </si>
  <si>
    <t xml:space="preserve">Residual Value at End of Analysis Year ($2021)= </t>
  </si>
  <si>
    <t>Avoided Future Construction Costs ($2021)</t>
  </si>
  <si>
    <t>Estimated Project Costs ($2021)</t>
  </si>
  <si>
    <t>$2021 Benefit-Cost  (Discounted 7%)</t>
  </si>
  <si>
    <t>Total Construction Costs ($2021)</t>
  </si>
  <si>
    <t>Elmore-Worcester VT Route-15</t>
  </si>
  <si>
    <t>Total Costs ($2021) Discounted 3%</t>
  </si>
  <si>
    <t>1. Based on Final Estimates ($2021) dated June 2022</t>
  </si>
  <si>
    <t>($2021)</t>
  </si>
  <si>
    <t>Table 9: Daily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</si>
</sst>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&quot;$&quot;#,##0.00"/>
    <numFmt numFmtId="167" formatCode="0.0000"/>
    <numFmt numFmtId="168" formatCode="0.0%"/>
    <numFmt numFmtId="169" formatCode="00\ &quot;Years&quot;"/>
    <numFmt numFmtId="170" formatCode="[$-409]mmmm\ d\,\ yyyy;@"/>
    <numFmt numFmtId="171" formatCode="mm/dd/yy;@"/>
    <numFmt numFmtId="172" formatCode="_(&quot;$&quot;* #,##0_);_(&quot;$&quot;* \(#,##0\);_(&quot;$&quot;* &quot;-&quot;??_);_(@_)"/>
    <numFmt numFmtId="173" formatCode="00"/>
    <numFmt numFmtId="174" formatCode="_([$$-409]* #,##0.00_);_([$$-409]* \(#,##0.00\);_([$$-409]* &quot;-&quot;??_);_(@_)"/>
    <numFmt numFmtId="175" formatCode="0.000%"/>
    <numFmt numFmtId="176" formatCode="_([$$-409]* #,##0_);_([$$-409]* \(#,##0\);_([$$-409]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0066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F752B"/>
        <bgColor indexed="64"/>
      </patternFill>
    </fill>
    <fill>
      <patternFill patternType="solid">
        <fgColor rgb="FFFFFF00"/>
        <bgColor indexed="64"/>
      </patternFill>
    </fill>
  </fills>
  <borders count="1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indexed="64"/>
      </right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 style="hair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hair">
        <color theme="1" tint="0.34998626667073579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 style="hair">
        <color theme="1" tint="0.34998626667073579"/>
      </left>
      <right/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indexed="64"/>
      </bottom>
      <diagonal/>
    </border>
    <border>
      <left/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1" tint="0.499984740745262"/>
      </bottom>
      <diagonal/>
    </border>
    <border>
      <left style="thin">
        <color auto="1"/>
      </left>
      <right style="thin">
        <color auto="1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indexed="64"/>
      </right>
      <top/>
      <bottom style="hair">
        <color theme="1" tint="0.34998626667073579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/>
      <diagonal/>
    </border>
    <border>
      <left style="thin">
        <color indexed="64"/>
      </left>
      <right/>
      <top style="medium">
        <color indexed="64"/>
      </top>
      <bottom style="hair">
        <color theme="1" tint="0.34998626667073579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 tint="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 tint="0.34998626667073579"/>
      </bottom>
      <diagonal/>
    </border>
    <border>
      <left/>
      <right/>
      <top style="medium">
        <color indexed="64"/>
      </top>
      <bottom style="hair">
        <color theme="1" tint="0.34998626667073579"/>
      </bottom>
      <diagonal/>
    </border>
    <border>
      <left/>
      <right/>
      <top style="thin">
        <color indexed="64"/>
      </top>
      <bottom style="hair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hair">
        <color theme="1" tint="0.34998626667073579"/>
      </bottom>
      <diagonal/>
    </border>
    <border>
      <left style="medium">
        <color indexed="64"/>
      </left>
      <right/>
      <top style="hair">
        <color theme="1" tint="0.34998626667073579"/>
      </top>
      <bottom/>
      <diagonal/>
    </border>
    <border>
      <left/>
      <right style="medium">
        <color indexed="64"/>
      </right>
      <top style="hair">
        <color theme="1" tint="0.3499862666707357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0" fontId="16" fillId="0" borderId="0"/>
    <xf numFmtId="0" fontId="27" fillId="0" borderId="0" applyNumberFormat="0" applyFill="0" applyBorder="0" applyAlignment="0" applyProtection="0"/>
  </cellStyleXfs>
  <cellXfs count="605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1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center"/>
    </xf>
    <xf numFmtId="39" fontId="3" fillId="0" borderId="0" xfId="0" applyNumberFormat="1" applyFont="1"/>
    <xf numFmtId="39" fontId="0" fillId="0" borderId="0" xfId="0" applyNumberFormat="1"/>
    <xf numFmtId="7" fontId="3" fillId="0" borderId="0" xfId="0" applyNumberFormat="1" applyFont="1"/>
    <xf numFmtId="7" fontId="0" fillId="0" borderId="0" xfId="0" applyNumberFormat="1"/>
    <xf numFmtId="165" fontId="1" fillId="0" borderId="27" xfId="0" applyNumberFormat="1" applyFont="1" applyBorder="1"/>
    <xf numFmtId="0" fontId="0" fillId="0" borderId="18" xfId="0" applyBorder="1"/>
    <xf numFmtId="0" fontId="5" fillId="0" borderId="0" xfId="0" applyFont="1"/>
    <xf numFmtId="0" fontId="5" fillId="0" borderId="0" xfId="0" applyFont="1" applyAlignment="1">
      <alignment vertical="top"/>
    </xf>
    <xf numFmtId="7" fontId="5" fillId="0" borderId="0" xfId="0" applyNumberFormat="1" applyFont="1"/>
    <xf numFmtId="165" fontId="1" fillId="0" borderId="20" xfId="0" applyNumberFormat="1" applyFont="1" applyBorder="1"/>
    <xf numFmtId="0" fontId="0" fillId="0" borderId="27" xfId="0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0" fillId="0" borderId="13" xfId="0" applyBorder="1" applyAlignment="1">
      <alignment horizontal="center"/>
    </xf>
    <xf numFmtId="165" fontId="0" fillId="0" borderId="0" xfId="0" applyNumberFormat="1" applyAlignment="1">
      <alignment wrapText="1"/>
    </xf>
    <xf numFmtId="1" fontId="0" fillId="0" borderId="0" xfId="0" applyNumberFormat="1"/>
    <xf numFmtId="39" fontId="0" fillId="0" borderId="27" xfId="0" applyNumberFormat="1" applyBorder="1" applyAlignment="1">
      <alignment horizontal="center" wrapText="1"/>
    </xf>
    <xf numFmtId="5" fontId="1" fillId="0" borderId="27" xfId="0" applyNumberFormat="1" applyFont="1" applyBorder="1"/>
    <xf numFmtId="0" fontId="0" fillId="0" borderId="6" xfId="0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56" xfId="0" applyBorder="1"/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9" xfId="0" applyBorder="1"/>
    <xf numFmtId="165" fontId="0" fillId="0" borderId="36" xfId="0" applyNumberFormat="1" applyBorder="1"/>
    <xf numFmtId="0" fontId="0" fillId="0" borderId="40" xfId="0" applyBorder="1"/>
    <xf numFmtId="165" fontId="0" fillId="0" borderId="37" xfId="0" applyNumberFormat="1" applyBorder="1"/>
    <xf numFmtId="0" fontId="0" fillId="0" borderId="41" xfId="0" applyBorder="1"/>
    <xf numFmtId="165" fontId="0" fillId="0" borderId="38" xfId="0" applyNumberFormat="1" applyBorder="1"/>
    <xf numFmtId="0" fontId="9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0" fillId="0" borderId="36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1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0" fillId="0" borderId="19" xfId="0" applyBorder="1" applyAlignment="1">
      <alignment wrapTex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10" fillId="0" borderId="0" xfId="0" applyFont="1" applyAlignment="1">
      <alignment vertical="center" wrapText="1"/>
    </xf>
    <xf numFmtId="165" fontId="9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15" xfId="0" applyBorder="1"/>
    <xf numFmtId="165" fontId="0" fillId="0" borderId="34" xfId="3" applyNumberFormat="1" applyFont="1" applyBorder="1"/>
    <xf numFmtId="165" fontId="9" fillId="0" borderId="49" xfId="0" applyNumberFormat="1" applyFont="1" applyBorder="1" applyAlignment="1">
      <alignment horizontal="center" vertical="center"/>
    </xf>
    <xf numFmtId="165" fontId="9" fillId="0" borderId="57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5" xfId="0" applyBorder="1"/>
    <xf numFmtId="0" fontId="0" fillId="0" borderId="49" xfId="0" applyBorder="1"/>
    <xf numFmtId="0" fontId="0" fillId="0" borderId="42" xfId="0" applyBorder="1"/>
    <xf numFmtId="165" fontId="0" fillId="0" borderId="49" xfId="0" applyNumberFormat="1" applyBorder="1"/>
    <xf numFmtId="0" fontId="0" fillId="0" borderId="2" xfId="0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2" fontId="0" fillId="0" borderId="63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6" fontId="0" fillId="0" borderId="22" xfId="0" quotePrefix="1" applyNumberFormat="1" applyBorder="1" applyAlignment="1">
      <alignment horizontal="center" wrapText="1"/>
    </xf>
    <xf numFmtId="0" fontId="0" fillId="0" borderId="23" xfId="0" quotePrefix="1" applyBorder="1" applyAlignment="1">
      <alignment horizontal="center" wrapText="1"/>
    </xf>
    <xf numFmtId="0" fontId="0" fillId="0" borderId="43" xfId="0" applyBorder="1"/>
    <xf numFmtId="6" fontId="0" fillId="0" borderId="44" xfId="0" quotePrefix="1" applyNumberFormat="1" applyBorder="1" applyAlignment="1">
      <alignment horizontal="center" wrapText="1"/>
    </xf>
    <xf numFmtId="0" fontId="0" fillId="0" borderId="45" xfId="0" quotePrefix="1" applyBorder="1" applyAlignment="1">
      <alignment horizontal="center" wrapText="1"/>
    </xf>
    <xf numFmtId="0" fontId="0" fillId="0" borderId="58" xfId="0" applyBorder="1"/>
    <xf numFmtId="166" fontId="0" fillId="0" borderId="47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48" xfId="0" applyBorder="1"/>
    <xf numFmtId="166" fontId="0" fillId="0" borderId="46" xfId="0" applyNumberFormat="1" applyBorder="1" applyAlignment="1">
      <alignment horizontal="center"/>
    </xf>
    <xf numFmtId="166" fontId="0" fillId="0" borderId="49" xfId="0" applyNumberFormat="1" applyBorder="1" applyAlignment="1">
      <alignment horizontal="center"/>
    </xf>
    <xf numFmtId="0" fontId="0" fillId="0" borderId="44" xfId="0" applyBorder="1"/>
    <xf numFmtId="10" fontId="0" fillId="0" borderId="45" xfId="0" applyNumberFormat="1" applyBorder="1" applyAlignment="1">
      <alignment horizontal="center"/>
    </xf>
    <xf numFmtId="0" fontId="0" fillId="0" borderId="50" xfId="0" applyBorder="1"/>
    <xf numFmtId="0" fontId="0" fillId="0" borderId="54" xfId="0" applyBorder="1"/>
    <xf numFmtId="10" fontId="0" fillId="0" borderId="5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45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10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right" indent="1"/>
    </xf>
    <xf numFmtId="165" fontId="0" fillId="0" borderId="57" xfId="0" applyNumberFormat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0" fontId="9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165" fontId="9" fillId="0" borderId="0" xfId="0" applyNumberFormat="1" applyFont="1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28" xfId="0" applyBorder="1"/>
    <xf numFmtId="165" fontId="0" fillId="0" borderId="28" xfId="0" applyNumberFormat="1" applyBorder="1"/>
    <xf numFmtId="1" fontId="13" fillId="0" borderId="68" xfId="0" applyNumberFormat="1" applyFont="1" applyBorder="1" applyAlignment="1">
      <alignment horizontal="center" vertical="center"/>
    </xf>
    <xf numFmtId="1" fontId="13" fillId="0" borderId="69" xfId="0" applyNumberFormat="1" applyFont="1" applyBorder="1" applyAlignment="1">
      <alignment horizontal="center" vertical="center"/>
    </xf>
    <xf numFmtId="168" fontId="0" fillId="0" borderId="70" xfId="1" applyNumberFormat="1" applyFont="1" applyBorder="1" applyAlignment="1">
      <alignment horizontal="center"/>
    </xf>
    <xf numFmtId="2" fontId="0" fillId="0" borderId="71" xfId="0" applyNumberFormat="1" applyBorder="1" applyAlignment="1">
      <alignment horizontal="center" vertical="center"/>
    </xf>
    <xf numFmtId="2" fontId="0" fillId="0" borderId="72" xfId="0" applyNumberFormat="1" applyBorder="1" applyAlignment="1">
      <alignment horizontal="center" vertical="center"/>
    </xf>
    <xf numFmtId="168" fontId="0" fillId="0" borderId="73" xfId="1" applyNumberFormat="1" applyFont="1" applyBorder="1" applyAlignment="1">
      <alignment horizontal="center"/>
    </xf>
    <xf numFmtId="44" fontId="0" fillId="0" borderId="68" xfId="3" applyFont="1" applyBorder="1" applyAlignment="1">
      <alignment horizontal="center" vertical="center"/>
    </xf>
    <xf numFmtId="44" fontId="0" fillId="0" borderId="69" xfId="3" applyFont="1" applyBorder="1" applyAlignment="1">
      <alignment horizontal="center" vertical="center"/>
    </xf>
    <xf numFmtId="44" fontId="0" fillId="0" borderId="71" xfId="3" applyFont="1" applyBorder="1" applyAlignment="1">
      <alignment horizontal="center" vertical="center"/>
    </xf>
    <xf numFmtId="44" fontId="0" fillId="0" borderId="72" xfId="3" applyFont="1" applyBorder="1" applyAlignment="1">
      <alignment horizontal="center" vertical="center"/>
    </xf>
    <xf numFmtId="0" fontId="0" fillId="0" borderId="1" xfId="0" applyBorder="1"/>
    <xf numFmtId="1" fontId="0" fillId="0" borderId="76" xfId="0" applyNumberFormat="1" applyBorder="1" applyAlignment="1">
      <alignment horizontal="center"/>
    </xf>
    <xf numFmtId="1" fontId="0" fillId="0" borderId="77" xfId="0" applyNumberForma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" fontId="0" fillId="0" borderId="67" xfId="0" applyNumberFormat="1" applyBorder="1"/>
    <xf numFmtId="2" fontId="0" fillId="0" borderId="67" xfId="0" applyNumberFormat="1" applyBorder="1" applyAlignment="1">
      <alignment horizontal="center" vertical="center"/>
    </xf>
    <xf numFmtId="164" fontId="0" fillId="0" borderId="67" xfId="0" applyNumberFormat="1" applyBorder="1" applyAlignment="1">
      <alignment horizontal="center"/>
    </xf>
    <xf numFmtId="168" fontId="0" fillId="0" borderId="67" xfId="1" applyNumberFormat="1" applyFont="1" applyBorder="1" applyAlignment="1">
      <alignment horizontal="center"/>
    </xf>
    <xf numFmtId="1" fontId="0" fillId="0" borderId="74" xfId="0" applyNumberFormat="1" applyBorder="1" applyAlignment="1">
      <alignment horizontal="center"/>
    </xf>
    <xf numFmtId="1" fontId="0" fillId="0" borderId="75" xfId="0" applyNumberFormat="1" applyBorder="1" applyAlignment="1">
      <alignment horizontal="center"/>
    </xf>
    <xf numFmtId="168" fontId="0" fillId="0" borderId="68" xfId="1" applyNumberFormat="1" applyFont="1" applyBorder="1" applyAlignment="1">
      <alignment horizontal="center"/>
    </xf>
    <xf numFmtId="168" fontId="0" fillId="0" borderId="71" xfId="1" applyNumberFormat="1" applyFont="1" applyBorder="1" applyAlignment="1">
      <alignment horizontal="center"/>
    </xf>
    <xf numFmtId="0" fontId="0" fillId="0" borderId="78" xfId="0" applyBorder="1"/>
    <xf numFmtId="0" fontId="0" fillId="0" borderId="79" xfId="0" applyBorder="1"/>
    <xf numFmtId="1" fontId="0" fillId="0" borderId="68" xfId="0" applyNumberFormat="1" applyBorder="1" applyAlignment="1">
      <alignment horizontal="center" vertical="center"/>
    </xf>
    <xf numFmtId="1" fontId="0" fillId="0" borderId="69" xfId="0" applyNumberFormat="1" applyBorder="1" applyAlignment="1">
      <alignment horizontal="center" vertical="center"/>
    </xf>
    <xf numFmtId="1" fontId="0" fillId="0" borderId="71" xfId="0" applyNumberFormat="1" applyBorder="1" applyAlignment="1">
      <alignment horizontal="center" vertical="center"/>
    </xf>
    <xf numFmtId="1" fontId="0" fillId="0" borderId="72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81" xfId="0" applyNumberFormat="1" applyBorder="1" applyAlignment="1">
      <alignment horizontal="center" vertical="center"/>
    </xf>
    <xf numFmtId="1" fontId="13" fillId="0" borderId="70" xfId="0" applyNumberFormat="1" applyFont="1" applyBorder="1" applyAlignment="1">
      <alignment horizontal="center" vertical="center"/>
    </xf>
    <xf numFmtId="1" fontId="0" fillId="0" borderId="73" xfId="0" applyNumberFormat="1" applyBorder="1" applyAlignment="1">
      <alignment horizontal="center" vertical="center"/>
    </xf>
    <xf numFmtId="1" fontId="0" fillId="0" borderId="83" xfId="0" applyNumberFormat="1" applyBorder="1" applyAlignment="1">
      <alignment horizontal="center"/>
    </xf>
    <xf numFmtId="1" fontId="0" fillId="0" borderId="82" xfId="0" applyNumberFormat="1" applyBorder="1" applyAlignment="1">
      <alignment horizontal="center"/>
    </xf>
    <xf numFmtId="168" fontId="0" fillId="0" borderId="80" xfId="1" applyNumberFormat="1" applyFont="1" applyBorder="1" applyAlignment="1">
      <alignment horizontal="center"/>
    </xf>
    <xf numFmtId="168" fontId="0" fillId="0" borderId="84" xfId="1" applyNumberFormat="1" applyFont="1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84" xfId="0" applyNumberFormat="1" applyBorder="1" applyAlignment="1">
      <alignment horizontal="center" vertical="center"/>
    </xf>
    <xf numFmtId="2" fontId="0" fillId="0" borderId="73" xfId="0" applyNumberFormat="1" applyBorder="1" applyAlignment="1">
      <alignment horizontal="center" vertical="center"/>
    </xf>
    <xf numFmtId="1" fontId="0" fillId="0" borderId="70" xfId="0" applyNumberFormat="1" applyBorder="1" applyAlignment="1">
      <alignment horizontal="center" vertical="center"/>
    </xf>
    <xf numFmtId="44" fontId="0" fillId="0" borderId="70" xfId="3" applyFont="1" applyBorder="1" applyAlignment="1">
      <alignment horizontal="center" vertical="center"/>
    </xf>
    <xf numFmtId="44" fontId="0" fillId="0" borderId="73" xfId="3" applyFont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 vertical="center"/>
    </xf>
    <xf numFmtId="1" fontId="1" fillId="0" borderId="29" xfId="0" applyNumberFormat="1" applyFont="1" applyBorder="1"/>
    <xf numFmtId="165" fontId="0" fillId="0" borderId="35" xfId="3" applyNumberFormat="1" applyFont="1" applyBorder="1"/>
    <xf numFmtId="169" fontId="0" fillId="0" borderId="0" xfId="0" applyNumberFormat="1"/>
    <xf numFmtId="0" fontId="5" fillId="0" borderId="3" xfId="0" applyFont="1" applyBorder="1" applyAlignment="1">
      <alignment vertical="center"/>
    </xf>
    <xf numFmtId="0" fontId="0" fillId="0" borderId="20" xfId="0" applyBorder="1" applyAlignment="1">
      <alignment horizontal="center" wrapText="1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/>
    </xf>
    <xf numFmtId="165" fontId="0" fillId="0" borderId="86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85" xfId="0" applyBorder="1"/>
    <xf numFmtId="165" fontId="0" fillId="0" borderId="18" xfId="0" applyNumberFormat="1" applyBorder="1"/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5" fillId="0" borderId="0" xfId="0" quotePrefix="1" applyFont="1" applyAlignment="1">
      <alignment horizontal="right" indent="1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0" fontId="5" fillId="0" borderId="0" xfId="0" quotePrefix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2" borderId="27" xfId="0" applyFill="1" applyBorder="1" applyAlignment="1">
      <alignment horizontal="center" wrapText="1"/>
    </xf>
    <xf numFmtId="165" fontId="1" fillId="2" borderId="21" xfId="0" applyNumberFormat="1" applyFont="1" applyFill="1" applyBorder="1"/>
    <xf numFmtId="7" fontId="0" fillId="3" borderId="27" xfId="0" applyNumberFormat="1" applyFill="1" applyBorder="1" applyAlignment="1">
      <alignment horizontal="center" wrapText="1"/>
    </xf>
    <xf numFmtId="5" fontId="1" fillId="3" borderId="21" xfId="0" applyNumberFormat="1" applyFont="1" applyFill="1" applyBorder="1"/>
    <xf numFmtId="4" fontId="0" fillId="0" borderId="40" xfId="0" applyNumberFormat="1" applyBorder="1" applyAlignment="1">
      <alignment horizontal="center"/>
    </xf>
    <xf numFmtId="4" fontId="0" fillId="0" borderId="40" xfId="0" applyNumberFormat="1" applyBorder="1"/>
    <xf numFmtId="5" fontId="1" fillId="3" borderId="27" xfId="0" applyNumberFormat="1" applyFont="1" applyFill="1" applyBorder="1"/>
    <xf numFmtId="0" fontId="0" fillId="0" borderId="1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5" fontId="0" fillId="0" borderId="91" xfId="0" applyNumberFormat="1" applyBorder="1"/>
    <xf numFmtId="5" fontId="0" fillId="0" borderId="92" xfId="0" applyNumberFormat="1" applyBorder="1"/>
    <xf numFmtId="5" fontId="1" fillId="0" borderId="19" xfId="0" applyNumberFormat="1" applyFont="1" applyBorder="1"/>
    <xf numFmtId="5" fontId="1" fillId="0" borderId="23" xfId="0" applyNumberFormat="1" applyFont="1" applyBorder="1"/>
    <xf numFmtId="165" fontId="1" fillId="0" borderId="88" xfId="0" applyNumberFormat="1" applyFont="1" applyBorder="1"/>
    <xf numFmtId="165" fontId="1" fillId="0" borderId="89" xfId="0" applyNumberFormat="1" applyFont="1" applyBorder="1"/>
    <xf numFmtId="165" fontId="1" fillId="0" borderId="87" xfId="0" applyNumberFormat="1" applyFont="1" applyBorder="1"/>
    <xf numFmtId="0" fontId="16" fillId="0" borderId="0" xfId="5"/>
    <xf numFmtId="0" fontId="16" fillId="4" borderId="0" xfId="5" applyFill="1"/>
    <xf numFmtId="0" fontId="16" fillId="0" borderId="94" xfId="5" applyBorder="1"/>
    <xf numFmtId="0" fontId="16" fillId="0" borderId="95" xfId="5" applyBorder="1"/>
    <xf numFmtId="0" fontId="16" fillId="0" borderId="96" xfId="5" applyBorder="1"/>
    <xf numFmtId="0" fontId="16" fillId="0" borderId="97" xfId="5" applyBorder="1"/>
    <xf numFmtId="0" fontId="16" fillId="0" borderId="98" xfId="5" applyBorder="1"/>
    <xf numFmtId="0" fontId="16" fillId="0" borderId="99" xfId="5" applyBorder="1"/>
    <xf numFmtId="0" fontId="16" fillId="0" borderId="98" xfId="5" applyBorder="1" applyAlignment="1">
      <alignment horizontal="center"/>
    </xf>
    <xf numFmtId="0" fontId="17" fillId="0" borderId="98" xfId="5" applyFont="1" applyBorder="1"/>
    <xf numFmtId="0" fontId="18" fillId="0" borderId="98" xfId="5" applyFont="1" applyBorder="1"/>
    <xf numFmtId="0" fontId="16" fillId="0" borderId="100" xfId="5" applyBorder="1"/>
    <xf numFmtId="0" fontId="16" fillId="0" borderId="101" xfId="5" applyBorder="1"/>
    <xf numFmtId="0" fontId="16" fillId="0" borderId="102" xfId="5" applyBorder="1"/>
    <xf numFmtId="0" fontId="16" fillId="5" borderId="0" xfId="5" applyFill="1"/>
    <xf numFmtId="0" fontId="20" fillId="5" borderId="0" xfId="5" applyFont="1" applyFill="1" applyAlignment="1" applyProtection="1">
      <alignment horizontal="left" indent="1"/>
      <protection locked="0"/>
    </xf>
    <xf numFmtId="0" fontId="21" fillId="5" borderId="0" xfId="5" applyFont="1" applyFill="1" applyAlignment="1" applyProtection="1">
      <alignment horizontal="left"/>
      <protection locked="0"/>
    </xf>
    <xf numFmtId="0" fontId="20" fillId="4" borderId="0" xfId="5" applyFont="1" applyFill="1" applyAlignment="1" applyProtection="1">
      <alignment horizontal="left" indent="1"/>
      <protection locked="0"/>
    </xf>
    <xf numFmtId="0" fontId="22" fillId="5" borderId="0" xfId="5" applyFont="1" applyFill="1" applyAlignment="1" applyProtection="1">
      <alignment horizontal="center"/>
      <protection locked="0"/>
    </xf>
    <xf numFmtId="0" fontId="21" fillId="5" borderId="0" xfId="5" applyFont="1" applyFill="1" applyAlignment="1" applyProtection="1">
      <alignment horizontal="center"/>
      <protection locked="0"/>
    </xf>
    <xf numFmtId="0" fontId="23" fillId="5" borderId="0" xfId="5" applyFont="1" applyFill="1" applyAlignment="1" applyProtection="1">
      <alignment horizontal="center"/>
      <protection locked="0"/>
    </xf>
    <xf numFmtId="0" fontId="24" fillId="5" borderId="0" xfId="5" applyFont="1" applyFill="1" applyAlignment="1">
      <alignment horizontal="center" vertical="center"/>
    </xf>
    <xf numFmtId="0" fontId="21" fillId="5" borderId="46" xfId="5" applyFont="1" applyFill="1" applyBorder="1" applyAlignment="1" applyProtection="1">
      <alignment horizontal="center"/>
      <protection locked="0"/>
    </xf>
    <xf numFmtId="0" fontId="24" fillId="4" borderId="0" xfId="5" applyFont="1" applyFill="1" applyAlignment="1">
      <alignment horizontal="center" vertical="center"/>
    </xf>
    <xf numFmtId="0" fontId="16" fillId="0" borderId="98" xfId="5" quotePrefix="1" applyBorder="1" applyAlignment="1">
      <alignment horizontal="center"/>
    </xf>
    <xf numFmtId="0" fontId="16" fillId="0" borderId="105" xfId="5" applyBorder="1"/>
    <xf numFmtId="0" fontId="16" fillId="0" borderId="112" xfId="5" applyBorder="1"/>
    <xf numFmtId="0" fontId="16" fillId="0" borderId="113" xfId="5" applyBorder="1"/>
    <xf numFmtId="165" fontId="0" fillId="0" borderId="40" xfId="0" applyNumberFormat="1" applyBorder="1"/>
    <xf numFmtId="5" fontId="0" fillId="0" borderId="55" xfId="0" applyNumberFormat="1" applyBorder="1"/>
    <xf numFmtId="5" fontId="0" fillId="0" borderId="37" xfId="0" applyNumberFormat="1" applyBorder="1"/>
    <xf numFmtId="7" fontId="0" fillId="0" borderId="0" xfId="0" applyNumberFormat="1" applyAlignment="1">
      <alignment wrapText="1"/>
    </xf>
    <xf numFmtId="5" fontId="0" fillId="3" borderId="40" xfId="0" applyNumberFormat="1" applyFill="1" applyBorder="1"/>
    <xf numFmtId="5" fontId="0" fillId="3" borderId="90" xfId="0" applyNumberFormat="1" applyFill="1" applyBorder="1"/>
    <xf numFmtId="4" fontId="0" fillId="0" borderId="36" xfId="0" applyNumberFormat="1" applyBorder="1"/>
    <xf numFmtId="4" fontId="0" fillId="0" borderId="37" xfId="0" applyNumberFormat="1" applyBorder="1"/>
    <xf numFmtId="10" fontId="9" fillId="0" borderId="65" xfId="0" applyNumberFormat="1" applyFont="1" applyBorder="1" applyAlignment="1">
      <alignment horizontal="center" vertical="center"/>
    </xf>
    <xf numFmtId="2" fontId="9" fillId="0" borderId="65" xfId="0" applyNumberFormat="1" applyFont="1" applyBorder="1" applyAlignment="1">
      <alignment horizontal="center" vertical="center"/>
    </xf>
    <xf numFmtId="2" fontId="9" fillId="0" borderId="59" xfId="0" applyNumberFormat="1" applyFont="1" applyBorder="1" applyAlignment="1">
      <alignment horizontal="center" vertical="center"/>
    </xf>
    <xf numFmtId="2" fontId="9" fillId="0" borderId="60" xfId="0" applyNumberFormat="1" applyFont="1" applyBorder="1" applyAlignment="1">
      <alignment horizontal="center" vertical="center"/>
    </xf>
    <xf numFmtId="2" fontId="9" fillId="0" borderId="126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9" fillId="0" borderId="45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5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12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12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0" fillId="0" borderId="49" xfId="0" applyNumberFormat="1" applyBorder="1" applyAlignment="1">
      <alignment vertical="top"/>
    </xf>
    <xf numFmtId="165" fontId="0" fillId="0" borderId="57" xfId="0" applyNumberFormat="1" applyBorder="1" applyAlignment="1">
      <alignment horizontal="center" vertical="top"/>
    </xf>
    <xf numFmtId="165" fontId="0" fillId="0" borderId="49" xfId="0" applyNumberFormat="1" applyBorder="1" applyAlignment="1">
      <alignment horizontal="center" vertical="top"/>
    </xf>
    <xf numFmtId="0" fontId="0" fillId="0" borderId="60" xfId="0" applyBorder="1" applyAlignment="1">
      <alignment horizontal="center" vertical="top"/>
    </xf>
    <xf numFmtId="165" fontId="0" fillId="0" borderId="26" xfId="0" applyNumberFormat="1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167" fontId="0" fillId="0" borderId="65" xfId="0" applyNumberFormat="1" applyBorder="1" applyAlignment="1">
      <alignment horizontal="center" vertical="top"/>
    </xf>
    <xf numFmtId="165" fontId="0" fillId="2" borderId="90" xfId="0" applyNumberFormat="1" applyFill="1" applyBorder="1"/>
    <xf numFmtId="0" fontId="0" fillId="0" borderId="27" xfId="0" applyBorder="1" applyAlignment="1">
      <alignment horizontal="center" vertical="center" wrapText="1"/>
    </xf>
    <xf numFmtId="7" fontId="0" fillId="0" borderId="0" xfId="3" applyNumberFormat="1" applyFont="1" applyFill="1"/>
    <xf numFmtId="0" fontId="16" fillId="0" borderId="98" xfId="5" applyBorder="1" applyAlignment="1">
      <alignment horizontal="left"/>
    </xf>
    <xf numFmtId="7" fontId="0" fillId="0" borderId="0" xfId="0" applyNumberFormat="1" applyAlignment="1">
      <alignment horizontal="right"/>
    </xf>
    <xf numFmtId="0" fontId="16" fillId="0" borderId="112" xfId="5" applyBorder="1" applyAlignment="1">
      <alignment horizontal="right"/>
    </xf>
    <xf numFmtId="0" fontId="16" fillId="0" borderId="0" xfId="5" applyAlignment="1">
      <alignment horizontal="right"/>
    </xf>
    <xf numFmtId="44" fontId="0" fillId="0" borderId="76" xfId="0" applyNumberFormat="1" applyBorder="1" applyAlignment="1">
      <alignment horizontal="center"/>
    </xf>
    <xf numFmtId="44" fontId="0" fillId="0" borderId="74" xfId="0" applyNumberFormat="1" applyBorder="1" applyAlignment="1">
      <alignment horizontal="center"/>
    </xf>
    <xf numFmtId="44" fontId="0" fillId="0" borderId="77" xfId="0" applyNumberFormat="1" applyBorder="1" applyAlignment="1">
      <alignment horizontal="center"/>
    </xf>
    <xf numFmtId="44" fontId="0" fillId="0" borderId="75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 vertical="top"/>
    </xf>
    <xf numFmtId="0" fontId="0" fillId="0" borderId="127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175" fontId="0" fillId="0" borderId="0" xfId="1" applyNumberFormat="1" applyFont="1"/>
    <xf numFmtId="10" fontId="0" fillId="0" borderId="0" xfId="0" applyNumberFormat="1" applyAlignment="1">
      <alignment horizontal="left" indent="1"/>
    </xf>
    <xf numFmtId="1" fontId="0" fillId="0" borderId="1" xfId="0" applyNumberFormat="1" applyBorder="1" applyAlignment="1">
      <alignment horizontal="center" vertical="top"/>
    </xf>
    <xf numFmtId="44" fontId="0" fillId="0" borderId="0" xfId="0" applyNumberFormat="1"/>
    <xf numFmtId="44" fontId="0" fillId="0" borderId="14" xfId="0" applyNumberFormat="1" applyBorder="1"/>
    <xf numFmtId="44" fontId="0" fillId="0" borderId="65" xfId="0" applyNumberFormat="1" applyBorder="1"/>
    <xf numFmtId="0" fontId="0" fillId="0" borderId="135" xfId="0" applyBorder="1"/>
    <xf numFmtId="0" fontId="0" fillId="0" borderId="43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135" xfId="0" applyBorder="1" applyAlignment="1">
      <alignment horizontal="center"/>
    </xf>
    <xf numFmtId="0" fontId="0" fillId="0" borderId="57" xfId="0" applyBorder="1" applyAlignment="1">
      <alignment horizontal="center"/>
    </xf>
    <xf numFmtId="44" fontId="0" fillId="0" borderId="13" xfId="0" applyNumberFormat="1" applyBorder="1"/>
    <xf numFmtId="44" fontId="0" fillId="0" borderId="15" xfId="0" applyNumberFormat="1" applyBorder="1"/>
    <xf numFmtId="44" fontId="0" fillId="0" borderId="7" xfId="0" applyNumberFormat="1" applyBorder="1"/>
    <xf numFmtId="44" fontId="0" fillId="0" borderId="59" xfId="0" applyNumberFormat="1" applyBorder="1"/>
    <xf numFmtId="44" fontId="13" fillId="0" borderId="14" xfId="0" applyNumberFormat="1" applyFont="1" applyBorder="1" applyAlignment="1">
      <alignment horizontal="center" vertical="center"/>
    </xf>
    <xf numFmtId="44" fontId="13" fillId="0" borderId="15" xfId="0" applyNumberFormat="1" applyFont="1" applyBorder="1" applyAlignment="1">
      <alignment horizontal="center" vertical="center"/>
    </xf>
    <xf numFmtId="44" fontId="13" fillId="0" borderId="8" xfId="0" applyNumberFormat="1" applyFont="1" applyBorder="1" applyAlignment="1">
      <alignment horizontal="center" vertical="center"/>
    </xf>
    <xf numFmtId="44" fontId="13" fillId="0" borderId="9" xfId="0" applyNumberFormat="1" applyFon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top"/>
    </xf>
    <xf numFmtId="165" fontId="0" fillId="2" borderId="37" xfId="0" applyNumberFormat="1" applyFill="1" applyBorder="1"/>
    <xf numFmtId="165" fontId="1" fillId="2" borderId="27" xfId="0" applyNumberFormat="1" applyFont="1" applyFill="1" applyBorder="1"/>
    <xf numFmtId="166" fontId="0" fillId="0" borderId="0" xfId="0" applyNumberFormat="1"/>
    <xf numFmtId="166" fontId="5" fillId="0" borderId="0" xfId="0" applyNumberFormat="1" applyFont="1" applyAlignment="1">
      <alignment vertical="top"/>
    </xf>
    <xf numFmtId="166" fontId="0" fillId="0" borderId="0" xfId="0" applyNumberFormat="1" applyAlignment="1">
      <alignment vertical="top"/>
    </xf>
    <xf numFmtId="5" fontId="0" fillId="0" borderId="0" xfId="0" applyNumberFormat="1"/>
    <xf numFmtId="2" fontId="0" fillId="0" borderId="37" xfId="0" applyNumberFormat="1" applyBorder="1"/>
    <xf numFmtId="3" fontId="0" fillId="0" borderId="1" xfId="0" applyNumberFormat="1" applyBorder="1" applyAlignment="1">
      <alignment horizontal="center" vertical="top"/>
    </xf>
    <xf numFmtId="3" fontId="0" fillId="0" borderId="8" xfId="0" applyNumberFormat="1" applyBorder="1" applyAlignment="1">
      <alignment horizontal="center" vertical="top"/>
    </xf>
    <xf numFmtId="3" fontId="13" fillId="0" borderId="132" xfId="0" applyNumberFormat="1" applyFont="1" applyBorder="1" applyAlignment="1">
      <alignment horizontal="center" vertical="center"/>
    </xf>
    <xf numFmtId="3" fontId="0" fillId="0" borderId="13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0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40" xfId="0" applyNumberFormat="1" applyFont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0" fontId="27" fillId="0" borderId="0" xfId="6"/>
    <xf numFmtId="165" fontId="9" fillId="0" borderId="28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13" fillId="0" borderId="136" xfId="0" applyNumberFormat="1" applyFont="1" applyBorder="1" applyAlignment="1">
      <alignment horizontal="center" vertical="center"/>
    </xf>
    <xf numFmtId="3" fontId="13" fillId="0" borderId="13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0" fillId="0" borderId="58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9" fontId="0" fillId="0" borderId="15" xfId="0" applyNumberFormat="1" applyBorder="1" applyAlignment="1">
      <alignment horizontal="center"/>
    </xf>
    <xf numFmtId="39" fontId="0" fillId="0" borderId="9" xfId="0" applyNumberFormat="1" applyBorder="1" applyAlignment="1">
      <alignment horizontal="center"/>
    </xf>
    <xf numFmtId="0" fontId="19" fillId="5" borderId="46" xfId="5" applyFont="1" applyFill="1" applyBorder="1" applyAlignment="1" applyProtection="1">
      <alignment horizontal="center"/>
      <protection locked="0"/>
    </xf>
    <xf numFmtId="14" fontId="19" fillId="5" borderId="46" xfId="5" applyNumberFormat="1" applyFont="1" applyFill="1" applyBorder="1" applyAlignment="1" applyProtection="1">
      <alignment horizontal="center"/>
      <protection locked="0"/>
    </xf>
    <xf numFmtId="171" fontId="19" fillId="5" borderId="46" xfId="5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20" fillId="5" borderId="67" xfId="5" applyFont="1" applyFill="1" applyBorder="1" applyAlignment="1" applyProtection="1">
      <alignment horizontal="center"/>
      <protection locked="0"/>
    </xf>
    <xf numFmtId="0" fontId="20" fillId="5" borderId="0" xfId="5" applyFont="1" applyFill="1" applyAlignment="1" applyProtection="1">
      <alignment horizontal="center"/>
      <protection locked="0"/>
    </xf>
    <xf numFmtId="2" fontId="0" fillId="0" borderId="1" xfId="0" applyNumberFormat="1" applyBorder="1"/>
    <xf numFmtId="0" fontId="0" fillId="0" borderId="47" xfId="0" applyBorder="1"/>
    <xf numFmtId="0" fontId="1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141" xfId="0" applyBorder="1" applyAlignment="1">
      <alignment horizontal="center" vertical="top"/>
    </xf>
    <xf numFmtId="44" fontId="16" fillId="0" borderId="0" xfId="5" applyNumberFormat="1"/>
    <xf numFmtId="37" fontId="0" fillId="0" borderId="49" xfId="3" applyNumberFormat="1" applyFont="1" applyBorder="1" applyAlignment="1">
      <alignment horizontal="center" vertical="center"/>
    </xf>
    <xf numFmtId="4" fontId="0" fillId="0" borderId="49" xfId="3" applyNumberFormat="1" applyFont="1" applyBorder="1" applyAlignment="1">
      <alignment horizontal="center" vertical="center"/>
    </xf>
    <xf numFmtId="37" fontId="0" fillId="0" borderId="61" xfId="3" applyNumberFormat="1" applyFont="1" applyBorder="1" applyAlignment="1">
      <alignment horizontal="center" vertical="center"/>
    </xf>
    <xf numFmtId="4" fontId="0" fillId="0" borderId="61" xfId="3" applyNumberFormat="1" applyFont="1" applyBorder="1" applyAlignment="1">
      <alignment horizontal="center" vertical="center"/>
    </xf>
    <xf numFmtId="174" fontId="0" fillId="6" borderId="49" xfId="0" applyNumberFormat="1" applyFill="1" applyBorder="1" applyAlignment="1">
      <alignment horizontal="center"/>
    </xf>
    <xf numFmtId="174" fontId="0" fillId="0" borderId="53" xfId="3" applyNumberFormat="1" applyFont="1" applyBorder="1" applyAlignment="1">
      <alignment horizontal="center"/>
    </xf>
    <xf numFmtId="174" fontId="0" fillId="0" borderId="61" xfId="3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76" fontId="0" fillId="6" borderId="49" xfId="0" applyNumberFormat="1" applyFill="1" applyBorder="1" applyAlignment="1">
      <alignment horizontal="center"/>
    </xf>
    <xf numFmtId="176" fontId="0" fillId="0" borderId="53" xfId="0" applyNumberFormat="1" applyBorder="1" applyAlignment="1">
      <alignment horizontal="center"/>
    </xf>
    <xf numFmtId="176" fontId="0" fillId="0" borderId="53" xfId="3" applyNumberFormat="1" applyFont="1" applyBorder="1" applyAlignment="1">
      <alignment horizontal="center"/>
    </xf>
    <xf numFmtId="176" fontId="0" fillId="0" borderId="61" xfId="3" applyNumberFormat="1" applyFont="1" applyBorder="1" applyAlignment="1">
      <alignment horizontal="center"/>
    </xf>
    <xf numFmtId="0" fontId="0" fillId="0" borderId="0" xfId="0" applyAlignment="1">
      <alignment horizontal="right" wrapText="1"/>
    </xf>
    <xf numFmtId="166" fontId="0" fillId="0" borderId="1" xfId="0" applyNumberFormat="1" applyBorder="1"/>
    <xf numFmtId="174" fontId="0" fillId="0" borderId="1" xfId="0" applyNumberFormat="1" applyBorder="1" applyAlignment="1">
      <alignment horizontal="center"/>
    </xf>
    <xf numFmtId="166" fontId="0" fillId="0" borderId="5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74" fontId="0" fillId="0" borderId="6" xfId="0" applyNumberFormat="1" applyBorder="1" applyAlignment="1">
      <alignment horizontal="center"/>
    </xf>
    <xf numFmtId="174" fontId="0" fillId="0" borderId="8" xfId="0" applyNumberFormat="1" applyBorder="1" applyAlignment="1">
      <alignment horizontal="center"/>
    </xf>
    <xf numFmtId="174" fontId="0" fillId="0" borderId="9" xfId="0" applyNumberFormat="1" applyBorder="1" applyAlignment="1">
      <alignment horizontal="center"/>
    </xf>
    <xf numFmtId="0" fontId="29" fillId="7" borderId="4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vertical="center"/>
    </xf>
    <xf numFmtId="0" fontId="3" fillId="0" borderId="58" xfId="0" applyFont="1" applyBorder="1"/>
    <xf numFmtId="0" fontId="3" fillId="0" borderId="139" xfId="0" applyFont="1" applyBorder="1"/>
    <xf numFmtId="0" fontId="3" fillId="6" borderId="5" xfId="0" applyFont="1" applyFill="1" applyBorder="1"/>
    <xf numFmtId="0" fontId="3" fillId="0" borderId="7" xfId="0" applyFont="1" applyBorder="1"/>
    <xf numFmtId="0" fontId="29" fillId="7" borderId="13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0" applyNumberFormat="1" applyAlignment="1">
      <alignment horizontal="right"/>
    </xf>
    <xf numFmtId="44" fontId="13" fillId="0" borderId="43" xfId="0" applyNumberFormat="1" applyFont="1" applyBorder="1" applyAlignment="1">
      <alignment horizontal="center" vertical="center"/>
    </xf>
    <xf numFmtId="44" fontId="13" fillId="0" borderId="5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44" fontId="16" fillId="0" borderId="0" xfId="3" applyFont="1"/>
    <xf numFmtId="0" fontId="0" fillId="0" borderId="4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8" xfId="0" applyBorder="1" applyAlignment="1">
      <alignment horizontal="center"/>
    </xf>
    <xf numFmtId="3" fontId="13" fillId="0" borderId="142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3" fillId="0" borderId="143" xfId="0" applyNumberFormat="1" applyFont="1" applyBorder="1" applyAlignment="1">
      <alignment horizontal="center" vertical="center"/>
    </xf>
    <xf numFmtId="3" fontId="13" fillId="0" borderId="144" xfId="0" applyNumberFormat="1" applyFont="1" applyBorder="1" applyAlignment="1">
      <alignment horizontal="center" vertical="center"/>
    </xf>
    <xf numFmtId="3" fontId="0" fillId="0" borderId="52" xfId="0" applyNumberFormat="1" applyBorder="1" applyAlignment="1">
      <alignment horizontal="center"/>
    </xf>
    <xf numFmtId="3" fontId="0" fillId="0" borderId="140" xfId="0" applyNumberFormat="1" applyBorder="1" applyAlignment="1">
      <alignment horizontal="center"/>
    </xf>
    <xf numFmtId="3" fontId="13" fillId="0" borderId="145" xfId="0" applyNumberFormat="1" applyFont="1" applyBorder="1" applyAlignment="1">
      <alignment horizontal="center" vertical="center"/>
    </xf>
    <xf numFmtId="3" fontId="0" fillId="0" borderId="146" xfId="0" applyNumberFormat="1" applyBorder="1" applyAlignment="1">
      <alignment horizontal="center" vertical="center"/>
    </xf>
    <xf numFmtId="3" fontId="0" fillId="0" borderId="147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4" fontId="0" fillId="0" borderId="93" xfId="3" applyFont="1" applyBorder="1" applyAlignment="1">
      <alignment horizontal="center" wrapText="1"/>
    </xf>
    <xf numFmtId="166" fontId="0" fillId="0" borderId="93" xfId="3" applyNumberFormat="1" applyFont="1" applyBorder="1" applyAlignment="1">
      <alignment horizontal="right" wrapText="1"/>
    </xf>
    <xf numFmtId="39" fontId="0" fillId="0" borderId="27" xfId="0" applyNumberFormat="1" applyBorder="1" applyAlignment="1">
      <alignment horizontal="center" vertical="center" wrapText="1"/>
    </xf>
    <xf numFmtId="9" fontId="0" fillId="0" borderId="0" xfId="1" applyFont="1" applyAlignment="1">
      <alignment horizontal="left"/>
    </xf>
    <xf numFmtId="3" fontId="0" fillId="0" borderId="6" xfId="0" applyNumberFormat="1" applyBorder="1" applyAlignment="1">
      <alignment horizontal="center"/>
    </xf>
    <xf numFmtId="0" fontId="11" fillId="0" borderId="0" xfId="0" applyFont="1"/>
    <xf numFmtId="1" fontId="11" fillId="0" borderId="0" xfId="0" applyNumberFormat="1" applyFont="1"/>
    <xf numFmtId="43" fontId="0" fillId="0" borderId="0" xfId="2" applyFont="1" applyFill="1" applyAlignment="1">
      <alignment horizontal="center"/>
    </xf>
    <xf numFmtId="44" fontId="0" fillId="0" borderId="0" xfId="3" applyFont="1" applyFill="1" applyBorder="1" applyAlignment="1">
      <alignment horizontal="center" vertical="center"/>
    </xf>
    <xf numFmtId="1" fontId="9" fillId="0" borderId="0" xfId="0" applyNumberFormat="1" applyFont="1"/>
    <xf numFmtId="165" fontId="0" fillId="0" borderId="9" xfId="0" applyNumberFormat="1" applyBorder="1" applyAlignment="1">
      <alignment horizontal="center" vertical="top"/>
    </xf>
    <xf numFmtId="5" fontId="0" fillId="0" borderId="93" xfId="3" applyNumberFormat="1" applyFont="1" applyBorder="1" applyAlignment="1">
      <alignment wrapText="1"/>
    </xf>
    <xf numFmtId="3" fontId="0" fillId="0" borderId="14" xfId="0" applyNumberFormat="1" applyBorder="1" applyAlignment="1">
      <alignment horizontal="center" vertical="top"/>
    </xf>
    <xf numFmtId="165" fontId="0" fillId="0" borderId="4" xfId="0" applyNumberFormat="1" applyBorder="1" applyAlignment="1">
      <alignment horizontal="center" vertical="top"/>
    </xf>
    <xf numFmtId="44" fontId="0" fillId="0" borderId="0" xfId="3" applyFont="1"/>
    <xf numFmtId="5" fontId="0" fillId="0" borderId="0" xfId="0" applyNumberFormat="1" applyAlignment="1">
      <alignment horizontal="center"/>
    </xf>
    <xf numFmtId="44" fontId="0" fillId="0" borderId="141" xfId="0" applyNumberFormat="1" applyBorder="1" applyAlignment="1">
      <alignment horizontal="center"/>
    </xf>
    <xf numFmtId="0" fontId="0" fillId="0" borderId="5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6" fontId="0" fillId="0" borderId="13" xfId="0" applyNumberFormat="1" applyBorder="1"/>
    <xf numFmtId="166" fontId="0" fillId="0" borderId="14" xfId="0" applyNumberFormat="1" applyBorder="1"/>
    <xf numFmtId="174" fontId="0" fillId="0" borderId="14" xfId="0" applyNumberFormat="1" applyBorder="1" applyAlignment="1">
      <alignment horizontal="center"/>
    </xf>
    <xf numFmtId="174" fontId="0" fillId="0" borderId="15" xfId="0" applyNumberFormat="1" applyBorder="1" applyAlignment="1">
      <alignment horizontal="center"/>
    </xf>
    <xf numFmtId="0" fontId="0" fillId="0" borderId="148" xfId="0" applyBorder="1" applyAlignment="1">
      <alignment horizontal="center" vertical="center" wrapText="1"/>
    </xf>
    <xf numFmtId="44" fontId="0" fillId="0" borderId="127" xfId="0" applyNumberFormat="1" applyBorder="1" applyAlignment="1">
      <alignment horizontal="center"/>
    </xf>
    <xf numFmtId="44" fontId="0" fillId="0" borderId="128" xfId="0" applyNumberFormat="1" applyBorder="1" applyAlignment="1">
      <alignment horizontal="center"/>
    </xf>
    <xf numFmtId="0" fontId="0" fillId="0" borderId="150" xfId="0" applyBorder="1" applyAlignment="1">
      <alignment horizontal="center" vertical="center" wrapText="1"/>
    </xf>
    <xf numFmtId="174" fontId="0" fillId="0" borderId="149" xfId="0" applyNumberFormat="1" applyBorder="1" applyAlignment="1">
      <alignment horizontal="center"/>
    </xf>
    <xf numFmtId="174" fontId="0" fillId="0" borderId="52" xfId="0" applyNumberFormat="1" applyBorder="1" applyAlignment="1">
      <alignment horizontal="center"/>
    </xf>
    <xf numFmtId="174" fontId="0" fillId="0" borderId="140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86" xfId="0" applyBorder="1" applyAlignment="1">
      <alignment horizontal="center" vertical="center"/>
    </xf>
    <xf numFmtId="4" fontId="0" fillId="0" borderId="56" xfId="0" applyNumberFormat="1" applyBorder="1"/>
    <xf numFmtId="4" fontId="0" fillId="0" borderId="18" xfId="0" applyNumberFormat="1" applyBorder="1"/>
    <xf numFmtId="4" fontId="0" fillId="0" borderId="16" xfId="0" applyNumberFormat="1" applyBorder="1"/>
    <xf numFmtId="0" fontId="3" fillId="0" borderId="5" xfId="0" applyFont="1" applyBorder="1"/>
    <xf numFmtId="0" fontId="31" fillId="7" borderId="13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3" fontId="33" fillId="0" borderId="61" xfId="3" applyNumberFormat="1" applyFont="1" applyBorder="1" applyAlignment="1">
      <alignment horizontal="center" vertical="center"/>
    </xf>
    <xf numFmtId="37" fontId="33" fillId="0" borderId="61" xfId="3" applyNumberFormat="1" applyFont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3" fontId="33" fillId="0" borderId="49" xfId="3" applyNumberFormat="1" applyFont="1" applyBorder="1" applyAlignment="1">
      <alignment horizontal="center" vertical="center"/>
    </xf>
    <xf numFmtId="37" fontId="33" fillId="0" borderId="49" xfId="3" applyNumberFormat="1" applyFont="1" applyBorder="1" applyAlignment="1">
      <alignment horizontal="center" vertical="center"/>
    </xf>
    <xf numFmtId="0" fontId="32" fillId="0" borderId="60" xfId="0" applyFont="1" applyBorder="1" applyAlignment="1">
      <alignment vertical="center" wrapText="1"/>
    </xf>
    <xf numFmtId="3" fontId="33" fillId="0" borderId="26" xfId="3" applyNumberFormat="1" applyFont="1" applyBorder="1" applyAlignment="1">
      <alignment horizontal="center" vertical="center"/>
    </xf>
    <xf numFmtId="37" fontId="33" fillId="0" borderId="26" xfId="3" applyNumberFormat="1" applyFont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3" fillId="6" borderId="0" xfId="0" applyFont="1" applyFill="1"/>
    <xf numFmtId="174" fontId="0" fillId="6" borderId="0" xfId="0" applyNumberFormat="1" applyFill="1" applyAlignment="1">
      <alignment horizontal="center"/>
    </xf>
    <xf numFmtId="0" fontId="34" fillId="0" borderId="0" xfId="0" applyFont="1"/>
    <xf numFmtId="0" fontId="4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9" fontId="0" fillId="0" borderId="0" xfId="0" applyNumberFormat="1"/>
    <xf numFmtId="0" fontId="0" fillId="0" borderId="0" xfId="0"/>
    <xf numFmtId="39" fontId="8" fillId="0" borderId="2" xfId="0" applyNumberFormat="1" applyFont="1" applyBorder="1" applyAlignment="1">
      <alignment horizontal="center"/>
    </xf>
    <xf numFmtId="39" fontId="8" fillId="0" borderId="3" xfId="0" applyNumberFormat="1" applyFont="1" applyBorder="1" applyAlignment="1">
      <alignment horizontal="center"/>
    </xf>
    <xf numFmtId="39" fontId="8" fillId="0" borderId="4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left" wrapText="1"/>
    </xf>
    <xf numFmtId="0" fontId="23" fillId="5" borderId="0" xfId="5" applyFont="1" applyFill="1" applyAlignment="1" applyProtection="1">
      <alignment horizontal="center"/>
      <protection locked="0"/>
    </xf>
    <xf numFmtId="0" fontId="25" fillId="5" borderId="0" xfId="5" applyFont="1" applyFill="1" applyAlignment="1" applyProtection="1">
      <alignment horizontal="center"/>
      <protection locked="0"/>
    </xf>
    <xf numFmtId="0" fontId="19" fillId="5" borderId="46" xfId="5" applyFont="1" applyFill="1" applyBorder="1" applyAlignment="1" applyProtection="1">
      <alignment horizontal="center"/>
      <protection locked="0"/>
    </xf>
    <xf numFmtId="14" fontId="19" fillId="5" borderId="46" xfId="5" applyNumberFormat="1" applyFont="1" applyFill="1" applyBorder="1" applyAlignment="1" applyProtection="1">
      <alignment horizontal="center"/>
      <protection locked="0"/>
    </xf>
    <xf numFmtId="0" fontId="18" fillId="0" borderId="46" xfId="5" applyFont="1" applyBorder="1" applyAlignment="1">
      <alignment horizontal="center"/>
    </xf>
    <xf numFmtId="171" fontId="19" fillId="5" borderId="46" xfId="5" applyNumberFormat="1" applyFont="1" applyFill="1" applyBorder="1" applyAlignment="1" applyProtection="1">
      <alignment horizontal="center"/>
      <protection locked="0"/>
    </xf>
    <xf numFmtId="0" fontId="19" fillId="5" borderId="63" xfId="5" applyFont="1" applyFill="1" applyBorder="1" applyAlignment="1" applyProtection="1">
      <alignment horizontal="left"/>
      <protection locked="0"/>
    </xf>
    <xf numFmtId="0" fontId="20" fillId="5" borderId="67" xfId="5" applyFont="1" applyFill="1" applyBorder="1" applyAlignment="1" applyProtection="1">
      <alignment horizontal="left" indent="1"/>
      <protection locked="0"/>
    </xf>
    <xf numFmtId="172" fontId="16" fillId="0" borderId="103" xfId="3" applyNumberFormat="1" applyFont="1" applyBorder="1" applyAlignment="1">
      <alignment horizontal="center"/>
    </xf>
    <xf numFmtId="172" fontId="16" fillId="0" borderId="104" xfId="3" applyNumberFormat="1" applyFont="1" applyBorder="1" applyAlignment="1">
      <alignment horizontal="center"/>
    </xf>
    <xf numFmtId="172" fontId="16" fillId="0" borderId="105" xfId="3" applyNumberFormat="1" applyFont="1" applyBorder="1" applyAlignment="1">
      <alignment horizontal="center"/>
    </xf>
    <xf numFmtId="44" fontId="16" fillId="0" borderId="103" xfId="3" applyFont="1" applyBorder="1" applyAlignment="1">
      <alignment horizontal="center"/>
    </xf>
    <xf numFmtId="44" fontId="16" fillId="0" borderId="104" xfId="3" applyFont="1" applyBorder="1" applyAlignment="1">
      <alignment horizontal="center"/>
    </xf>
    <xf numFmtId="44" fontId="16" fillId="0" borderId="105" xfId="3" applyFont="1" applyBorder="1" applyAlignment="1">
      <alignment horizontal="center"/>
    </xf>
    <xf numFmtId="0" fontId="16" fillId="0" borderId="103" xfId="5" applyBorder="1" applyAlignment="1">
      <alignment horizontal="center"/>
    </xf>
    <xf numFmtId="0" fontId="16" fillId="0" borderId="104" xfId="5" applyBorder="1" applyAlignment="1">
      <alignment horizontal="center"/>
    </xf>
    <xf numFmtId="0" fontId="16" fillId="0" borderId="105" xfId="5" applyBorder="1" applyAlignment="1">
      <alignment horizontal="center"/>
    </xf>
    <xf numFmtId="0" fontId="26" fillId="0" borderId="109" xfId="5" applyFont="1" applyBorder="1" applyAlignment="1">
      <alignment horizontal="center" vertical="center"/>
    </xf>
    <xf numFmtId="0" fontId="26" fillId="0" borderId="110" xfId="5" applyFont="1" applyBorder="1" applyAlignment="1">
      <alignment horizontal="center" vertical="center"/>
    </xf>
    <xf numFmtId="0" fontId="26" fillId="0" borderId="111" xfId="5" applyFont="1" applyBorder="1" applyAlignment="1">
      <alignment horizontal="center" vertical="center"/>
    </xf>
    <xf numFmtId="0" fontId="26" fillId="0" borderId="106" xfId="5" applyFont="1" applyBorder="1" applyAlignment="1">
      <alignment horizontal="center" vertical="center"/>
    </xf>
    <xf numFmtId="0" fontId="26" fillId="0" borderId="107" xfId="5" applyFont="1" applyBorder="1" applyAlignment="1">
      <alignment horizontal="center" vertical="center"/>
    </xf>
    <xf numFmtId="0" fontId="26" fillId="0" borderId="108" xfId="5" applyFont="1" applyBorder="1" applyAlignment="1">
      <alignment horizontal="center" vertical="center"/>
    </xf>
    <xf numFmtId="169" fontId="16" fillId="0" borderId="103" xfId="5" applyNumberFormat="1" applyBorder="1" applyAlignment="1">
      <alignment horizontal="center"/>
    </xf>
    <xf numFmtId="169" fontId="16" fillId="0" borderId="104" xfId="5" applyNumberFormat="1" applyBorder="1" applyAlignment="1">
      <alignment horizontal="center"/>
    </xf>
    <xf numFmtId="169" fontId="16" fillId="0" borderId="105" xfId="5" applyNumberFormat="1" applyBorder="1" applyAlignment="1">
      <alignment horizontal="center"/>
    </xf>
    <xf numFmtId="0" fontId="0" fillId="0" borderId="114" xfId="0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0" fontId="18" fillId="0" borderId="115" xfId="5" applyFont="1" applyBorder="1" applyAlignment="1">
      <alignment horizontal="center" vertical="center"/>
    </xf>
    <xf numFmtId="0" fontId="16" fillId="0" borderId="115" xfId="5" applyBorder="1" applyAlignment="1">
      <alignment horizontal="center" vertical="center"/>
    </xf>
    <xf numFmtId="0" fontId="16" fillId="0" borderId="120" xfId="5" applyBorder="1" applyAlignment="1">
      <alignment horizontal="center" vertical="center"/>
    </xf>
    <xf numFmtId="0" fontId="0" fillId="0" borderId="119" xfId="0" applyBorder="1" applyAlignment="1">
      <alignment horizontal="center"/>
    </xf>
    <xf numFmtId="0" fontId="0" fillId="0" borderId="120" xfId="0" applyBorder="1" applyAlignment="1">
      <alignment horizontal="center"/>
    </xf>
    <xf numFmtId="0" fontId="16" fillId="0" borderId="116" xfId="5" applyBorder="1" applyAlignment="1">
      <alignment horizontal="center" vertical="center"/>
    </xf>
    <xf numFmtId="0" fontId="16" fillId="0" borderId="121" xfId="5" applyBorder="1" applyAlignment="1">
      <alignment horizontal="center" vertical="center"/>
    </xf>
    <xf numFmtId="44" fontId="16" fillId="0" borderId="115" xfId="3" applyFont="1" applyBorder="1" applyAlignment="1">
      <alignment horizontal="center"/>
    </xf>
    <xf numFmtId="44" fontId="16" fillId="0" borderId="118" xfId="3" applyFont="1" applyBorder="1" applyAlignment="1">
      <alignment horizontal="center"/>
    </xf>
    <xf numFmtId="44" fontId="16" fillId="0" borderId="116" xfId="3" applyFont="1" applyBorder="1" applyAlignment="1">
      <alignment horizontal="center"/>
    </xf>
    <xf numFmtId="44" fontId="16" fillId="0" borderId="122" xfId="3" applyFont="1" applyBorder="1" applyAlignment="1">
      <alignment horizontal="center"/>
    </xf>
    <xf numFmtId="44" fontId="16" fillId="0" borderId="123" xfId="3" applyFont="1" applyBorder="1" applyAlignment="1">
      <alignment horizontal="center"/>
    </xf>
    <xf numFmtId="44" fontId="16" fillId="0" borderId="120" xfId="3" applyFont="1" applyBorder="1" applyAlignment="1">
      <alignment horizontal="center"/>
    </xf>
    <xf numFmtId="44" fontId="16" fillId="0" borderId="124" xfId="3" applyFont="1" applyBorder="1" applyAlignment="1">
      <alignment horizontal="center"/>
    </xf>
    <xf numFmtId="44" fontId="16" fillId="0" borderId="125" xfId="3" applyFont="1" applyBorder="1" applyAlignment="1">
      <alignment horizontal="center"/>
    </xf>
    <xf numFmtId="174" fontId="0" fillId="0" borderId="129" xfId="0" applyNumberFormat="1" applyBorder="1" applyAlignment="1">
      <alignment horizontal="right"/>
    </xf>
    <xf numFmtId="174" fontId="0" fillId="0" borderId="130" xfId="0" applyNumberFormat="1" applyBorder="1" applyAlignment="1">
      <alignment horizontal="right"/>
    </xf>
    <xf numFmtId="174" fontId="0" fillId="0" borderId="131" xfId="0" applyNumberFormat="1" applyBorder="1" applyAlignment="1">
      <alignment horizontal="right"/>
    </xf>
    <xf numFmtId="174" fontId="16" fillId="0" borderId="103" xfId="5" applyNumberFormat="1" applyBorder="1" applyAlignment="1">
      <alignment horizontal="center"/>
    </xf>
    <xf numFmtId="174" fontId="16" fillId="0" borderId="104" xfId="5" applyNumberFormat="1" applyBorder="1" applyAlignment="1">
      <alignment horizontal="center"/>
    </xf>
    <xf numFmtId="174" fontId="16" fillId="0" borderId="105" xfId="5" applyNumberFormat="1" applyBorder="1" applyAlignment="1">
      <alignment horizontal="center"/>
    </xf>
    <xf numFmtId="174" fontId="0" fillId="0" borderId="110" xfId="0" applyNumberFormat="1" applyBorder="1" applyAlignment="1">
      <alignment horizontal="right"/>
    </xf>
    <xf numFmtId="5" fontId="0" fillId="0" borderId="110" xfId="0" applyNumberFormat="1" applyBorder="1" applyAlignment="1">
      <alignment horizontal="right"/>
    </xf>
    <xf numFmtId="5" fontId="0" fillId="0" borderId="111" xfId="0" applyNumberFormat="1" applyBorder="1" applyAlignment="1">
      <alignment horizontal="right"/>
    </xf>
    <xf numFmtId="173" fontId="0" fillId="0" borderId="107" xfId="0" applyNumberFormat="1" applyBorder="1" applyAlignment="1">
      <alignment horizontal="center"/>
    </xf>
    <xf numFmtId="173" fontId="0" fillId="0" borderId="108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9" fontId="0" fillId="0" borderId="108" xfId="0" applyNumberFormat="1" applyBorder="1" applyAlignment="1">
      <alignment horizontal="center"/>
    </xf>
    <xf numFmtId="165" fontId="9" fillId="0" borderId="28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" fillId="5" borderId="63" xfId="5" applyFont="1" applyFill="1" applyBorder="1" applyAlignment="1" applyProtection="1">
      <alignment horizontal="center"/>
      <protection locked="0"/>
    </xf>
    <xf numFmtId="0" fontId="16" fillId="4" borderId="0" xfId="5" applyFill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2" fillId="0" borderId="0" xfId="4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7" xfId="0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0" fillId="8" borderId="6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9" fillId="0" borderId="139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</cellXfs>
  <cellStyles count="7">
    <cellStyle name="Comma" xfId="2" builtinId="3"/>
    <cellStyle name="Currency" xfId="3" builtinId="4"/>
    <cellStyle name="Hyperlink" xfId="6" builtinId="8"/>
    <cellStyle name="Normal" xfId="0" builtinId="0"/>
    <cellStyle name="Normal 2" xfId="4" xr:uid="{48844BC6-6E6C-49C9-A3A2-58A5F81E8521}"/>
    <cellStyle name="Normal 3" xfId="5" xr:uid="{ED1E6BA3-28D8-4446-838F-DAFA929CE0EB}"/>
    <cellStyle name="Percent" xfId="1" builtinId="5"/>
  </cellStyles>
  <dxfs count="0"/>
  <tableStyles count="0" defaultTableStyle="TableStyleMedium9" defaultPivotStyle="PivotStyleLight16"/>
  <colors>
    <mruColors>
      <color rgb="FF006600"/>
      <color rgb="FFFF6600"/>
      <color rgb="FF3F752B"/>
      <color rgb="FF54A428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44824</xdr:colOff>
      <xdr:row>10</xdr:row>
      <xdr:rowOff>78442</xdr:rowOff>
    </xdr:from>
    <xdr:to>
      <xdr:col>73</xdr:col>
      <xdr:colOff>95850</xdr:colOff>
      <xdr:row>29</xdr:row>
      <xdr:rowOff>22412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E159D-A0AE-4623-9C96-39049F37B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8677" y="1804148"/>
          <a:ext cx="8433026" cy="4415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292100</xdr:colOff>
      <xdr:row>10</xdr:row>
      <xdr:rowOff>163769</xdr:rowOff>
    </xdr:from>
    <xdr:to>
      <xdr:col>22</xdr:col>
      <xdr:colOff>126224</xdr:colOff>
      <xdr:row>46</xdr:row>
      <xdr:rowOff>92550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7F19A-E7AE-455F-9778-8A0CECEEA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678400" y="2373569"/>
          <a:ext cx="6209524" cy="6824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28208</xdr:colOff>
      <xdr:row>8</xdr:row>
      <xdr:rowOff>0</xdr:rowOff>
    </xdr:from>
    <xdr:to>
      <xdr:col>24</xdr:col>
      <xdr:colOff>115245</xdr:colOff>
      <xdr:row>43</xdr:row>
      <xdr:rowOff>132440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CEBB9D-3826-4460-A722-D446AA5A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06601" y="1197429"/>
          <a:ext cx="6210251" cy="7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598715</xdr:colOff>
      <xdr:row>43</xdr:row>
      <xdr:rowOff>163286</xdr:rowOff>
    </xdr:from>
    <xdr:to>
      <xdr:col>24</xdr:col>
      <xdr:colOff>91750</xdr:colOff>
      <xdr:row>59</xdr:row>
      <xdr:rowOff>86715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1A1059-8310-4AAC-A9B1-A5E16799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4786" y="7497536"/>
          <a:ext cx="6228571" cy="2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330200</xdr:colOff>
      <xdr:row>5</xdr:row>
      <xdr:rowOff>38100</xdr:rowOff>
    </xdr:from>
    <xdr:to>
      <xdr:col>22</xdr:col>
      <xdr:colOff>145276</xdr:colOff>
      <xdr:row>39</xdr:row>
      <xdr:rowOff>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45C07-5CB3-497D-8471-F33FB7FE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5800" y="1651000"/>
          <a:ext cx="6190476" cy="64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204107</xdr:colOff>
      <xdr:row>3</xdr:row>
      <xdr:rowOff>40822</xdr:rowOff>
    </xdr:from>
    <xdr:to>
      <xdr:col>23</xdr:col>
      <xdr:colOff>2223988</xdr:colOff>
      <xdr:row>36</xdr:row>
      <xdr:rowOff>7357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00F84C-8495-4C6C-B70A-118C71AF4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6536" y="653143"/>
          <a:ext cx="6238095" cy="64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394607</xdr:colOff>
      <xdr:row>9</xdr:row>
      <xdr:rowOff>68036</xdr:rowOff>
    </xdr:from>
    <xdr:to>
      <xdr:col>24</xdr:col>
      <xdr:colOff>114880</xdr:colOff>
      <xdr:row>41</xdr:row>
      <xdr:rowOff>170643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067A0-2665-4F65-A183-BFC7B93F1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8428" y="1483179"/>
          <a:ext cx="6238095" cy="6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jinc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mjinc.com/" TargetMode="External"/><Relationship Id="rId1" Type="http://schemas.openxmlformats.org/officeDocument/2006/relationships/hyperlink" Target="http://www.cmfclearinghouse.org/" TargetMode="External"/><Relationship Id="rId4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jinc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jinc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jinc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jinc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jinc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mj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3"/>
  <sheetViews>
    <sheetView view="pageBreakPreview" zoomScale="85" zoomScaleNormal="85" zoomScaleSheetLayoutView="85" workbookViewId="0">
      <pane ySplit="1332" topLeftCell="A5" activePane="bottomLeft"/>
      <selection activeCell="J7" sqref="J1:J1048576"/>
      <selection pane="bottomLeft" activeCell="J40" sqref="J40"/>
    </sheetView>
  </sheetViews>
  <sheetFormatPr defaultRowHeight="14.4" x14ac:dyDescent="0.3"/>
  <cols>
    <col min="1" max="1" width="11.109375" customWidth="1"/>
    <col min="2" max="2" width="8" customWidth="1"/>
    <col min="3" max="4" width="14.6640625" customWidth="1"/>
    <col min="5" max="5" width="14.6640625" hidden="1" customWidth="1"/>
    <col min="6" max="8" width="14.6640625" customWidth="1"/>
    <col min="9" max="9" width="6.6640625" customWidth="1"/>
    <col min="10" max="10" width="14.6640625" customWidth="1"/>
    <col min="11" max="11" width="6.6640625" customWidth="1"/>
    <col min="12" max="12" width="14.6640625" customWidth="1"/>
    <col min="13" max="13" width="3.88671875" customWidth="1"/>
    <col min="14" max="14" width="14.6640625" customWidth="1"/>
    <col min="15" max="15" width="5.33203125" customWidth="1"/>
    <col min="16" max="16" width="14.6640625" style="12" customWidth="1"/>
    <col min="17" max="17" width="6.6640625" style="12" customWidth="1"/>
    <col min="18" max="18" width="14.6640625" customWidth="1"/>
    <col min="19" max="19" width="6.6640625" style="14" customWidth="1"/>
    <col min="20" max="20" width="14.6640625" customWidth="1"/>
    <col min="21" max="21" width="14.6640625" style="14" customWidth="1"/>
    <col min="22" max="22" width="14.6640625" hidden="1" customWidth="1"/>
    <col min="23" max="23" width="18.109375" customWidth="1"/>
    <col min="24" max="24" width="15.33203125" bestFit="1" customWidth="1"/>
    <col min="25" max="25" width="14.33203125" bestFit="1" customWidth="1"/>
    <col min="26" max="26" width="15.33203125" bestFit="1" customWidth="1"/>
    <col min="27" max="27" width="11.5546875" bestFit="1" customWidth="1"/>
  </cols>
  <sheetData>
    <row r="1" spans="1:27" ht="21" x14ac:dyDescent="0.4">
      <c r="A1" s="463" t="s">
        <v>282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27" ht="21" x14ac:dyDescent="0.4">
      <c r="A2" s="463" t="s">
        <v>106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</row>
    <row r="3" spans="1:27" ht="15.6" x14ac:dyDescent="0.3">
      <c r="A3" s="464">
        <f ca="1">TODAY()</f>
        <v>45148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</row>
    <row r="4" spans="1:27" ht="16.2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/>
      <c r="Q4" s="11"/>
      <c r="R4" s="7"/>
      <c r="S4" s="13"/>
      <c r="T4" s="7"/>
      <c r="U4" s="13"/>
    </row>
    <row r="5" spans="1:27" ht="21.6" thickBot="1" x14ac:dyDescent="0.45">
      <c r="A5" s="470" t="s">
        <v>15</v>
      </c>
      <c r="B5" s="471"/>
      <c r="C5" s="471"/>
      <c r="D5" s="471"/>
      <c r="E5" s="471"/>
      <c r="F5" s="471"/>
      <c r="G5" s="471"/>
      <c r="H5" s="472"/>
      <c r="I5" s="472"/>
      <c r="J5" s="472"/>
      <c r="K5" s="472"/>
      <c r="L5" s="473"/>
      <c r="M5" s="5"/>
      <c r="N5" s="470" t="s">
        <v>16</v>
      </c>
      <c r="O5" s="471"/>
      <c r="P5" s="471"/>
      <c r="Q5" s="471"/>
      <c r="R5" s="471"/>
      <c r="S5" s="471"/>
      <c r="T5" s="471"/>
      <c r="U5" s="471"/>
      <c r="V5" s="474"/>
      <c r="W5" s="119"/>
    </row>
    <row r="6" spans="1:27" ht="64.5" customHeight="1" thickBot="1" x14ac:dyDescent="0.35">
      <c r="A6" s="21" t="s">
        <v>0</v>
      </c>
      <c r="B6" s="21" t="s">
        <v>1</v>
      </c>
      <c r="C6" s="21" t="str">
        <f>'VHT Savings'!D10</f>
        <v>Value of Time Savings ($2021)</v>
      </c>
      <c r="D6" s="270" t="s">
        <v>268</v>
      </c>
      <c r="E6" s="21" t="s">
        <v>278</v>
      </c>
      <c r="F6" s="413" t="s">
        <v>269</v>
      </c>
      <c r="G6" s="270" t="s">
        <v>270</v>
      </c>
      <c r="H6" s="21" t="s">
        <v>271</v>
      </c>
      <c r="I6" s="172" t="s">
        <v>20</v>
      </c>
      <c r="J6" s="193" t="s">
        <v>272</v>
      </c>
      <c r="K6" s="21" t="s">
        <v>21</v>
      </c>
      <c r="L6" s="193" t="s">
        <v>273</v>
      </c>
      <c r="M6" s="1"/>
      <c r="N6" s="21" t="s">
        <v>180</v>
      </c>
      <c r="O6" s="21"/>
      <c r="P6" s="26"/>
      <c r="Q6" s="172" t="s">
        <v>20</v>
      </c>
      <c r="R6" s="195" t="s">
        <v>274</v>
      </c>
      <c r="S6" s="21" t="s">
        <v>21</v>
      </c>
      <c r="T6" s="195" t="s">
        <v>283</v>
      </c>
      <c r="U6" s="200" t="s">
        <v>104</v>
      </c>
      <c r="V6" s="201" t="s">
        <v>105</v>
      </c>
    </row>
    <row r="7" spans="1:27" ht="15" customHeight="1" x14ac:dyDescent="0.3">
      <c r="A7" s="184">
        <v>2023</v>
      </c>
      <c r="B7" s="185">
        <v>1</v>
      </c>
      <c r="C7" s="67">
        <f>'VHT Savings'!D13</f>
        <v>0</v>
      </c>
      <c r="D7" s="67">
        <f>'Vehicle Operating Cost Savings'!D14</f>
        <v>0</v>
      </c>
      <c r="E7" s="67">
        <f>'Crash Costs Summary'!K12</f>
        <v>0</v>
      </c>
      <c r="F7" s="412">
        <v>50000</v>
      </c>
      <c r="G7" s="411"/>
      <c r="H7" s="169">
        <f t="shared" ref="H7:H19" si="0">C7+D7+E7+F7</f>
        <v>50000</v>
      </c>
      <c r="I7" s="197">
        <f>1/(1+0.07)^(A7-2021)</f>
        <v>0.87343872827321156</v>
      </c>
      <c r="J7" s="309">
        <f>I7*H7</f>
        <v>43671.93641366058</v>
      </c>
      <c r="K7" s="243">
        <f>1/(1+0.03)^(A7-2021)</f>
        <v>0.94259590913375435</v>
      </c>
      <c r="L7" s="269">
        <f>K7*H7</f>
        <v>47129.795456687716</v>
      </c>
      <c r="M7" s="1"/>
      <c r="N7" s="237">
        <f>'Funding Assumptions'!J30+'Funding Assumptions'!O30</f>
        <v>0</v>
      </c>
      <c r="O7" s="315"/>
      <c r="P7" s="238"/>
      <c r="Q7" s="198">
        <f>1/(1+0.07)^(A7-2021)</f>
        <v>0.87343872827321156</v>
      </c>
      <c r="R7" s="241">
        <f>Q7*N7</f>
        <v>0</v>
      </c>
      <c r="S7" s="243">
        <f>1/(1+0.03)^(A7-2021)</f>
        <v>0.94259590913375435</v>
      </c>
      <c r="T7" s="242">
        <f>S7*N7</f>
        <v>0</v>
      </c>
      <c r="U7" s="202">
        <f t="shared" ref="U7:U36" si="1">J7-R7</f>
        <v>43671.93641366058</v>
      </c>
      <c r="V7" s="203">
        <f t="shared" ref="V7:V36" si="2">L7-T7</f>
        <v>47129.795456687716</v>
      </c>
    </row>
    <row r="8" spans="1:27" ht="15" customHeight="1" x14ac:dyDescent="0.3">
      <c r="A8" s="186">
        <f>A7+1</f>
        <v>2024</v>
      </c>
      <c r="B8" s="187">
        <f>B7+1</f>
        <v>2</v>
      </c>
      <c r="C8" s="67">
        <f>'VHT Savings'!D14</f>
        <v>0</v>
      </c>
      <c r="D8" s="67">
        <f>'Vehicle Operating Cost Savings'!D15</f>
        <v>0</v>
      </c>
      <c r="E8" s="67">
        <f>'Crash Costs Summary'!K13</f>
        <v>0</v>
      </c>
      <c r="F8" s="412">
        <v>50000</v>
      </c>
      <c r="G8" s="411"/>
      <c r="H8" s="169">
        <f t="shared" si="0"/>
        <v>50000</v>
      </c>
      <c r="I8" s="197">
        <f t="shared" ref="I8:I39" si="3">1/(1+0.07)^(A8-2021)</f>
        <v>0.81629787689085187</v>
      </c>
      <c r="J8" s="309">
        <f t="shared" ref="J8:J38" si="4">I8*H8</f>
        <v>40814.893844542596</v>
      </c>
      <c r="K8" s="244">
        <f t="shared" ref="K8:K39" si="5">1/(1+0.03)^(A8-2021)</f>
        <v>0.91514165935315961</v>
      </c>
      <c r="L8" s="269">
        <f t="shared" ref="L8:L11" si="6">K8*H8</f>
        <v>45757.082967657981</v>
      </c>
      <c r="M8" s="1"/>
      <c r="N8" s="237">
        <f>'Funding Assumptions'!J31+'Funding Assumptions'!O31</f>
        <v>0</v>
      </c>
      <c r="O8" s="315"/>
      <c r="P8" s="238"/>
      <c r="Q8" s="198">
        <f t="shared" ref="Q8:Q39" si="7">1/(1+0.07)^(A8-2021)</f>
        <v>0.81629787689085187</v>
      </c>
      <c r="R8" s="241">
        <f t="shared" ref="R8:R15" si="8">Q8*N8</f>
        <v>0</v>
      </c>
      <c r="S8" s="244">
        <f t="shared" ref="S8:S39" si="9">1/(1+0.03)^(A8-2021)</f>
        <v>0.91514165935315961</v>
      </c>
      <c r="T8" s="242">
        <f t="shared" ref="T8:T36" si="10">S8*N8</f>
        <v>0</v>
      </c>
      <c r="U8" s="202">
        <f t="shared" si="1"/>
        <v>40814.893844542596</v>
      </c>
      <c r="V8" s="203">
        <f t="shared" si="2"/>
        <v>45757.082967657981</v>
      </c>
    </row>
    <row r="9" spans="1:27" ht="15" customHeight="1" x14ac:dyDescent="0.3">
      <c r="A9" s="186">
        <f t="shared" ref="A9:A39" si="11">A8+1</f>
        <v>2025</v>
      </c>
      <c r="B9" s="187">
        <f t="shared" ref="B9:B39" si="12">B8+1</f>
        <v>3</v>
      </c>
      <c r="C9" s="67">
        <f>'VHT Savings'!D15</f>
        <v>0</v>
      </c>
      <c r="D9" s="67">
        <f>'Vehicle Operating Cost Savings'!D16</f>
        <v>0</v>
      </c>
      <c r="E9" s="67">
        <f>'Crash Costs Summary'!K14</f>
        <v>0</v>
      </c>
      <c r="F9" s="412">
        <v>50000</v>
      </c>
      <c r="G9" s="411"/>
      <c r="H9" s="169">
        <f t="shared" si="0"/>
        <v>50000</v>
      </c>
      <c r="I9" s="197">
        <f t="shared" si="3"/>
        <v>0.7628952120475252</v>
      </c>
      <c r="J9" s="309">
        <f t="shared" si="4"/>
        <v>38144.760602376256</v>
      </c>
      <c r="K9" s="244">
        <f t="shared" si="5"/>
        <v>0.888487047915689</v>
      </c>
      <c r="L9" s="269">
        <f t="shared" si="6"/>
        <v>44424.352395784452</v>
      </c>
      <c r="M9" s="1"/>
      <c r="N9" s="237">
        <f>'Funding Assumptions'!J32+'Funding Assumptions'!O32</f>
        <v>5295000</v>
      </c>
      <c r="O9" s="315"/>
      <c r="P9" s="238"/>
      <c r="Q9" s="198">
        <f t="shared" si="7"/>
        <v>0.7628952120475252</v>
      </c>
      <c r="R9" s="241">
        <f t="shared" si="8"/>
        <v>4039530.147791646</v>
      </c>
      <c r="S9" s="244">
        <f t="shared" si="9"/>
        <v>0.888487047915689</v>
      </c>
      <c r="T9" s="242">
        <f t="shared" si="10"/>
        <v>4704538.9187135734</v>
      </c>
      <c r="U9" s="202">
        <f>J9-R9</f>
        <v>-4001385.3871892695</v>
      </c>
      <c r="V9" s="203">
        <f t="shared" si="2"/>
        <v>-4660114.5663177893</v>
      </c>
      <c r="Y9" s="314"/>
      <c r="Z9" s="314"/>
    </row>
    <row r="10" spans="1:27" ht="15" customHeight="1" x14ac:dyDescent="0.3">
      <c r="A10" s="186">
        <f t="shared" si="11"/>
        <v>2026</v>
      </c>
      <c r="B10" s="187">
        <f t="shared" si="12"/>
        <v>4</v>
      </c>
      <c r="C10" s="67">
        <f>'VHT Savings'!D16</f>
        <v>0</v>
      </c>
      <c r="D10" s="67">
        <f>'Vehicle Operating Cost Savings'!D17</f>
        <v>0</v>
      </c>
      <c r="E10" s="67">
        <f>'Crash Costs Summary'!K15</f>
        <v>0</v>
      </c>
      <c r="F10" s="412">
        <v>50000</v>
      </c>
      <c r="G10" s="411"/>
      <c r="H10" s="169">
        <f t="shared" si="0"/>
        <v>50000</v>
      </c>
      <c r="I10" s="197">
        <f t="shared" si="3"/>
        <v>0.71298617948366838</v>
      </c>
      <c r="J10" s="309">
        <f t="shared" si="4"/>
        <v>35649.308974183419</v>
      </c>
      <c r="K10" s="244">
        <f t="shared" si="5"/>
        <v>0.86260878438416411</v>
      </c>
      <c r="L10" s="269">
        <f t="shared" si="6"/>
        <v>43130.439219208209</v>
      </c>
      <c r="M10" s="1"/>
      <c r="N10" s="237">
        <f>'Funding Assumptions'!J33+'Funding Assumptions'!O33</f>
        <v>5295000</v>
      </c>
      <c r="O10" s="315"/>
      <c r="P10" s="238"/>
      <c r="Q10" s="198">
        <f t="shared" si="7"/>
        <v>0.71298617948366838</v>
      </c>
      <c r="R10" s="241">
        <f t="shared" si="8"/>
        <v>3775261.820366024</v>
      </c>
      <c r="S10" s="244">
        <f t="shared" si="9"/>
        <v>0.86260878438416411</v>
      </c>
      <c r="T10" s="242">
        <f t="shared" si="10"/>
        <v>4567513.5133141493</v>
      </c>
      <c r="U10" s="202">
        <f t="shared" si="1"/>
        <v>-3739612.5113918404</v>
      </c>
      <c r="V10" s="203">
        <f t="shared" si="2"/>
        <v>-4524383.0740949409</v>
      </c>
      <c r="Y10" s="314"/>
      <c r="Z10" s="2"/>
    </row>
    <row r="11" spans="1:27" ht="15" customHeight="1" x14ac:dyDescent="0.3">
      <c r="A11" s="186">
        <f t="shared" si="11"/>
        <v>2027</v>
      </c>
      <c r="B11" s="187">
        <f t="shared" si="12"/>
        <v>5</v>
      </c>
      <c r="C11" s="67">
        <f>'VHT Savings'!D17</f>
        <v>0</v>
      </c>
      <c r="D11" s="67">
        <f>'Vehicle Operating Cost Savings'!D18</f>
        <v>0</v>
      </c>
      <c r="E11" s="67">
        <f>'Crash Costs Summary'!K16</f>
        <v>0</v>
      </c>
      <c r="F11" s="412">
        <v>50000</v>
      </c>
      <c r="G11" s="411"/>
      <c r="H11" s="169">
        <f t="shared" si="0"/>
        <v>50000</v>
      </c>
      <c r="I11" s="197">
        <f t="shared" si="3"/>
        <v>0.66634222381651254</v>
      </c>
      <c r="J11" s="309">
        <f t="shared" si="4"/>
        <v>33317.111190825628</v>
      </c>
      <c r="K11" s="244">
        <f t="shared" si="5"/>
        <v>0.83748425668365445</v>
      </c>
      <c r="L11" s="269">
        <f t="shared" si="6"/>
        <v>41874.212834182719</v>
      </c>
      <c r="M11" s="1"/>
      <c r="N11" s="237">
        <f>'Funding Assumptions'!O35</f>
        <v>0</v>
      </c>
      <c r="O11" s="315"/>
      <c r="P11" s="238"/>
      <c r="Q11" s="198">
        <f t="shared" si="7"/>
        <v>0.66634222381651254</v>
      </c>
      <c r="R11" s="241">
        <f t="shared" si="8"/>
        <v>0</v>
      </c>
      <c r="S11" s="244">
        <f t="shared" si="9"/>
        <v>0.83748425668365445</v>
      </c>
      <c r="T11" s="242">
        <f t="shared" si="10"/>
        <v>0</v>
      </c>
      <c r="U11" s="202">
        <f t="shared" si="1"/>
        <v>33317.111190825628</v>
      </c>
      <c r="V11" s="203">
        <f t="shared" si="2"/>
        <v>41874.212834182719</v>
      </c>
    </row>
    <row r="12" spans="1:27" x14ac:dyDescent="0.3">
      <c r="A12" s="186">
        <f t="shared" si="11"/>
        <v>2028</v>
      </c>
      <c r="B12" s="187">
        <f t="shared" si="12"/>
        <v>6</v>
      </c>
      <c r="C12" s="67">
        <f>'VHT Savings'!D18</f>
        <v>0</v>
      </c>
      <c r="D12" s="67">
        <f>'Vehicle Operating Cost Savings'!D19</f>
        <v>0</v>
      </c>
      <c r="E12" s="67">
        <f>'Crash Costs Summary'!K17</f>
        <v>0</v>
      </c>
      <c r="F12" s="412">
        <v>50000</v>
      </c>
      <c r="G12" s="411"/>
      <c r="H12" s="169">
        <f t="shared" si="0"/>
        <v>50000</v>
      </c>
      <c r="I12" s="197">
        <f t="shared" si="3"/>
        <v>0.62274974188459109</v>
      </c>
      <c r="J12" s="309">
        <f t="shared" si="4"/>
        <v>31137.487094229553</v>
      </c>
      <c r="K12" s="244">
        <f t="shared" si="5"/>
        <v>0.81309151134335378</v>
      </c>
      <c r="L12" s="269">
        <f t="shared" ref="L12:L20" si="13">K12*H12</f>
        <v>40654.575567167689</v>
      </c>
      <c r="N12" s="237">
        <f>'Funding Assumptions'!O36</f>
        <v>0</v>
      </c>
      <c r="O12" s="239"/>
      <c r="P12" s="238"/>
      <c r="Q12" s="198">
        <f t="shared" si="7"/>
        <v>0.62274974188459109</v>
      </c>
      <c r="R12" s="241">
        <f t="shared" si="8"/>
        <v>0</v>
      </c>
      <c r="S12" s="244">
        <f t="shared" si="9"/>
        <v>0.81309151134335378</v>
      </c>
      <c r="T12" s="242">
        <f t="shared" si="10"/>
        <v>0</v>
      </c>
      <c r="U12" s="202">
        <f t="shared" si="1"/>
        <v>31137.487094229553</v>
      </c>
      <c r="V12" s="203">
        <f t="shared" si="2"/>
        <v>40654.575567167689</v>
      </c>
      <c r="Y12" s="314"/>
    </row>
    <row r="13" spans="1:27" x14ac:dyDescent="0.3">
      <c r="A13" s="186">
        <f t="shared" si="11"/>
        <v>2029</v>
      </c>
      <c r="B13" s="187">
        <f t="shared" si="12"/>
        <v>7</v>
      </c>
      <c r="C13" s="67">
        <f>'VHT Savings'!D19</f>
        <v>0</v>
      </c>
      <c r="D13" s="67">
        <f>'Vehicle Operating Cost Savings'!D20</f>
        <v>0</v>
      </c>
      <c r="E13" s="67">
        <f>'Crash Costs Summary'!K18</f>
        <v>0</v>
      </c>
      <c r="F13" s="412">
        <v>50000</v>
      </c>
      <c r="G13" s="411"/>
      <c r="H13" s="169">
        <f t="shared" si="0"/>
        <v>50000</v>
      </c>
      <c r="I13" s="197">
        <f t="shared" si="3"/>
        <v>0.5820091045650384</v>
      </c>
      <c r="J13" s="309">
        <f t="shared" si="4"/>
        <v>29100.455228251922</v>
      </c>
      <c r="K13" s="244">
        <f t="shared" si="5"/>
        <v>0.78940923431393573</v>
      </c>
      <c r="L13" s="269">
        <f t="shared" si="13"/>
        <v>39470.461715696787</v>
      </c>
      <c r="N13" s="237">
        <f>'Funding Assumptions'!O37</f>
        <v>0</v>
      </c>
      <c r="O13" s="239"/>
      <c r="P13" s="238"/>
      <c r="Q13" s="198">
        <f t="shared" si="7"/>
        <v>0.5820091045650384</v>
      </c>
      <c r="R13" s="241">
        <f t="shared" si="8"/>
        <v>0</v>
      </c>
      <c r="S13" s="244">
        <f t="shared" si="9"/>
        <v>0.78940923431393573</v>
      </c>
      <c r="T13" s="242">
        <f t="shared" si="10"/>
        <v>0</v>
      </c>
      <c r="U13" s="202">
        <f t="shared" si="1"/>
        <v>29100.455228251922</v>
      </c>
      <c r="V13" s="203">
        <f t="shared" si="2"/>
        <v>39470.461715696787</v>
      </c>
      <c r="X13" s="5"/>
      <c r="Y13" s="426"/>
      <c r="AA13" s="314"/>
    </row>
    <row r="14" spans="1:27" x14ac:dyDescent="0.3">
      <c r="A14" s="186">
        <f t="shared" si="11"/>
        <v>2030</v>
      </c>
      <c r="B14" s="187">
        <f t="shared" si="12"/>
        <v>8</v>
      </c>
      <c r="C14" s="67">
        <f>'VHT Savings'!D20</f>
        <v>2398534.8650568398</v>
      </c>
      <c r="D14" s="67">
        <f>'Vehicle Operating Cost Savings'!D21</f>
        <v>1329295.4892500001</v>
      </c>
      <c r="E14" s="67">
        <f>'Crash Costs Summary'!K19</f>
        <v>0</v>
      </c>
      <c r="F14" s="412"/>
      <c r="G14" s="411"/>
      <c r="H14" s="169">
        <f t="shared" si="0"/>
        <v>3727830.3543068399</v>
      </c>
      <c r="I14" s="197">
        <f t="shared" si="3"/>
        <v>0.54393374258414806</v>
      </c>
      <c r="J14" s="309">
        <f t="shared" si="4"/>
        <v>2027692.7163369101</v>
      </c>
      <c r="K14" s="244">
        <f t="shared" si="5"/>
        <v>0.76641673234362695</v>
      </c>
      <c r="L14" s="269">
        <f t="shared" si="13"/>
        <v>2857071.5588792334</v>
      </c>
      <c r="N14" s="237">
        <f>'Funding Assumptions'!O38</f>
        <v>0</v>
      </c>
      <c r="O14" s="239"/>
      <c r="P14" s="238"/>
      <c r="Q14" s="198">
        <f t="shared" si="7"/>
        <v>0.54393374258414806</v>
      </c>
      <c r="R14" s="241">
        <f t="shared" si="8"/>
        <v>0</v>
      </c>
      <c r="S14" s="244">
        <f t="shared" si="9"/>
        <v>0.76641673234362695</v>
      </c>
      <c r="T14" s="242">
        <f t="shared" si="10"/>
        <v>0</v>
      </c>
      <c r="U14" s="202">
        <f t="shared" si="1"/>
        <v>2027692.7163369101</v>
      </c>
      <c r="V14" s="203">
        <f t="shared" si="2"/>
        <v>2857071.5588792334</v>
      </c>
      <c r="X14" s="425"/>
      <c r="Y14" s="311"/>
      <c r="AA14" s="314"/>
    </row>
    <row r="15" spans="1:27" x14ac:dyDescent="0.3">
      <c r="A15" s="186">
        <f t="shared" si="11"/>
        <v>2031</v>
      </c>
      <c r="B15" s="187">
        <f t="shared" si="12"/>
        <v>9</v>
      </c>
      <c r="C15" s="67">
        <f>'VHT Savings'!D21</f>
        <v>2413812.1571909594</v>
      </c>
      <c r="D15" s="67">
        <f>'Vehicle Operating Cost Savings'!D22</f>
        <v>1337762.3395</v>
      </c>
      <c r="E15" s="67">
        <f>'Crash Costs Summary'!K20</f>
        <v>0</v>
      </c>
      <c r="F15" s="412"/>
      <c r="G15" s="411"/>
      <c r="H15" s="169">
        <f t="shared" si="0"/>
        <v>3751574.4966909597</v>
      </c>
      <c r="I15" s="197">
        <f t="shared" si="3"/>
        <v>0.5083492921347178</v>
      </c>
      <c r="J15" s="309">
        <f t="shared" si="4"/>
        <v>1907110.2397835096</v>
      </c>
      <c r="K15" s="244">
        <f t="shared" si="5"/>
        <v>0.74409391489672516</v>
      </c>
      <c r="L15" s="269">
        <f t="shared" si="13"/>
        <v>2791523.7542694877</v>
      </c>
      <c r="N15" s="237">
        <f>'Funding Assumptions'!O39</f>
        <v>0</v>
      </c>
      <c r="O15" s="239"/>
      <c r="P15" s="238"/>
      <c r="Q15" s="198">
        <f t="shared" si="7"/>
        <v>0.5083492921347178</v>
      </c>
      <c r="R15" s="241">
        <f t="shared" si="8"/>
        <v>0</v>
      </c>
      <c r="S15" s="244">
        <f t="shared" si="9"/>
        <v>0.74409391489672516</v>
      </c>
      <c r="T15" s="242">
        <f t="shared" si="10"/>
        <v>0</v>
      </c>
      <c r="U15" s="202">
        <f t="shared" si="1"/>
        <v>1907110.2397835096</v>
      </c>
      <c r="V15" s="203">
        <f t="shared" si="2"/>
        <v>2791523.7542694877</v>
      </c>
      <c r="X15" s="425"/>
      <c r="Y15" s="425"/>
    </row>
    <row r="16" spans="1:27" x14ac:dyDescent="0.3">
      <c r="A16" s="186">
        <f t="shared" si="11"/>
        <v>2032</v>
      </c>
      <c r="B16" s="187">
        <f t="shared" si="12"/>
        <v>10</v>
      </c>
      <c r="C16" s="67">
        <f>'VHT Savings'!D22</f>
        <v>2429089.4493250796</v>
      </c>
      <c r="D16" s="67">
        <f>'Vehicle Operating Cost Savings'!D23</f>
        <v>1346229.1897499999</v>
      </c>
      <c r="E16" s="67">
        <f>'Crash Costs Summary'!K21</f>
        <v>0</v>
      </c>
      <c r="F16" s="412"/>
      <c r="G16" s="411"/>
      <c r="H16" s="169">
        <f t="shared" si="0"/>
        <v>3775318.6390750795</v>
      </c>
      <c r="I16" s="197">
        <f t="shared" si="3"/>
        <v>0.47509279638758667</v>
      </c>
      <c r="J16" s="309">
        <f t="shared" si="4"/>
        <v>1793626.6894923574</v>
      </c>
      <c r="K16" s="244">
        <f t="shared" si="5"/>
        <v>0.72242127659876232</v>
      </c>
      <c r="L16" s="269">
        <f t="shared" si="13"/>
        <v>2727370.5108077209</v>
      </c>
      <c r="N16" s="237">
        <f>'Funding Assumptions'!O40</f>
        <v>0</v>
      </c>
      <c r="O16" s="239"/>
      <c r="P16" s="238"/>
      <c r="Q16" s="198">
        <f t="shared" si="7"/>
        <v>0.47509279638758667</v>
      </c>
      <c r="R16" s="241">
        <f t="shared" ref="R16:R20" si="14">Q16*P16</f>
        <v>0</v>
      </c>
      <c r="S16" s="244">
        <f t="shared" si="9"/>
        <v>0.72242127659876232</v>
      </c>
      <c r="T16" s="242">
        <f t="shared" si="10"/>
        <v>0</v>
      </c>
      <c r="U16" s="202">
        <f t="shared" si="1"/>
        <v>1793626.6894923574</v>
      </c>
      <c r="V16" s="203">
        <f t="shared" si="2"/>
        <v>2727370.5108077209</v>
      </c>
      <c r="X16" s="425"/>
      <c r="Y16" s="425"/>
    </row>
    <row r="17" spans="1:26" x14ac:dyDescent="0.3">
      <c r="A17" s="186">
        <f t="shared" si="11"/>
        <v>2033</v>
      </c>
      <c r="B17" s="187">
        <f t="shared" si="12"/>
        <v>11</v>
      </c>
      <c r="C17" s="67">
        <f>'VHT Savings'!D23</f>
        <v>2444366.7414591997</v>
      </c>
      <c r="D17" s="67">
        <f>'Vehicle Operating Cost Savings'!D24</f>
        <v>1354696.04</v>
      </c>
      <c r="E17" s="67">
        <f>'Crash Costs Summary'!K22</f>
        <v>0</v>
      </c>
      <c r="F17" s="412"/>
      <c r="G17" s="411"/>
      <c r="H17" s="169">
        <f t="shared" si="0"/>
        <v>3799062.7814591997</v>
      </c>
      <c r="I17" s="197">
        <f t="shared" si="3"/>
        <v>0.44401195924073528</v>
      </c>
      <c r="J17" s="309">
        <f t="shared" si="4"/>
        <v>1686829.3088742567</v>
      </c>
      <c r="K17" s="244">
        <f t="shared" si="5"/>
        <v>0.70137988019297326</v>
      </c>
      <c r="L17" s="269">
        <f t="shared" si="13"/>
        <v>2664586.1985054375</v>
      </c>
      <c r="N17" s="237">
        <f>'Funding Assumptions'!T40</f>
        <v>0</v>
      </c>
      <c r="O17" s="239"/>
      <c r="P17" s="238"/>
      <c r="Q17" s="198">
        <f t="shared" si="7"/>
        <v>0.44401195924073528</v>
      </c>
      <c r="R17" s="241">
        <f t="shared" si="14"/>
        <v>0</v>
      </c>
      <c r="S17" s="244">
        <f t="shared" si="9"/>
        <v>0.70137988019297326</v>
      </c>
      <c r="T17" s="242">
        <f t="shared" si="10"/>
        <v>0</v>
      </c>
      <c r="U17" s="202">
        <f t="shared" si="1"/>
        <v>1686829.3088742567</v>
      </c>
      <c r="V17" s="203">
        <f t="shared" si="2"/>
        <v>2664586.1985054375</v>
      </c>
      <c r="X17" s="425"/>
      <c r="Y17" s="425"/>
    </row>
    <row r="18" spans="1:26" x14ac:dyDescent="0.3">
      <c r="A18" s="186">
        <f t="shared" si="11"/>
        <v>2034</v>
      </c>
      <c r="B18" s="187">
        <f t="shared" si="12"/>
        <v>12</v>
      </c>
      <c r="C18" s="67">
        <f>'VHT Savings'!D24</f>
        <v>2459644.0335933198</v>
      </c>
      <c r="D18" s="67">
        <f>'Vehicle Operating Cost Savings'!D25</f>
        <v>1363162.8902499999</v>
      </c>
      <c r="E18" s="67">
        <f>'Crash Costs Summary'!K23</f>
        <v>0</v>
      </c>
      <c r="F18" s="412"/>
      <c r="G18" s="411"/>
      <c r="H18" s="169">
        <f t="shared" si="0"/>
        <v>3822806.9238433195</v>
      </c>
      <c r="I18" s="197">
        <f t="shared" si="3"/>
        <v>0.41496444788853759</v>
      </c>
      <c r="J18" s="309">
        <f t="shared" si="4"/>
        <v>1586328.9645371218</v>
      </c>
      <c r="K18" s="244">
        <f t="shared" si="5"/>
        <v>0.68095133999317792</v>
      </c>
      <c r="L18" s="269">
        <f t="shared" si="13"/>
        <v>2603145.497326307</v>
      </c>
      <c r="M18" s="2"/>
      <c r="N18" s="237">
        <f>'Funding Assumptions'!T41</f>
        <v>0</v>
      </c>
      <c r="O18" s="239"/>
      <c r="P18" s="238"/>
      <c r="Q18" s="198">
        <f t="shared" si="7"/>
        <v>0.41496444788853759</v>
      </c>
      <c r="R18" s="241">
        <f t="shared" si="14"/>
        <v>0</v>
      </c>
      <c r="S18" s="244">
        <f t="shared" si="9"/>
        <v>0.68095133999317792</v>
      </c>
      <c r="T18" s="242">
        <f t="shared" si="10"/>
        <v>0</v>
      </c>
      <c r="U18" s="202">
        <f t="shared" si="1"/>
        <v>1586328.9645371218</v>
      </c>
      <c r="V18" s="203">
        <f t="shared" si="2"/>
        <v>2603145.497326307</v>
      </c>
      <c r="X18" s="425"/>
      <c r="Y18" s="425"/>
      <c r="Z18" s="314"/>
    </row>
    <row r="19" spans="1:26" x14ac:dyDescent="0.3">
      <c r="A19" s="186">
        <f t="shared" si="11"/>
        <v>2035</v>
      </c>
      <c r="B19" s="187">
        <f t="shared" si="12"/>
        <v>13</v>
      </c>
      <c r="C19" s="67">
        <f>'VHT Savings'!D25</f>
        <v>2474921.32572744</v>
      </c>
      <c r="D19" s="67">
        <f>'Vehicle Operating Cost Savings'!D26</f>
        <v>1371629.7404999998</v>
      </c>
      <c r="E19" s="67">
        <f>'Crash Costs Summary'!K24</f>
        <v>0</v>
      </c>
      <c r="F19" s="412"/>
      <c r="G19" s="411"/>
      <c r="H19" s="169">
        <f t="shared" si="0"/>
        <v>3846551.0662274398</v>
      </c>
      <c r="I19" s="197">
        <f t="shared" si="3"/>
        <v>0.3878172410173249</v>
      </c>
      <c r="J19" s="309">
        <f t="shared" si="4"/>
        <v>1491758.821936575</v>
      </c>
      <c r="K19" s="244">
        <f t="shared" si="5"/>
        <v>0.66111780581861923</v>
      </c>
      <c r="L19" s="269">
        <f t="shared" si="13"/>
        <v>2543023.4008735553</v>
      </c>
      <c r="M19" s="2"/>
      <c r="N19" s="237">
        <f>'Funding Assumptions'!T42</f>
        <v>0</v>
      </c>
      <c r="O19" s="239"/>
      <c r="P19" s="238"/>
      <c r="Q19" s="198">
        <f t="shared" si="7"/>
        <v>0.3878172410173249</v>
      </c>
      <c r="R19" s="241">
        <f t="shared" si="14"/>
        <v>0</v>
      </c>
      <c r="S19" s="244">
        <f t="shared" si="9"/>
        <v>0.66111780581861923</v>
      </c>
      <c r="T19" s="242">
        <f t="shared" si="10"/>
        <v>0</v>
      </c>
      <c r="U19" s="202">
        <f t="shared" si="1"/>
        <v>1491758.821936575</v>
      </c>
      <c r="V19" s="203">
        <f t="shared" si="2"/>
        <v>2543023.4008735553</v>
      </c>
      <c r="X19" s="425"/>
      <c r="Y19" s="425"/>
      <c r="Z19" s="314"/>
    </row>
    <row r="20" spans="1:26" x14ac:dyDescent="0.3">
      <c r="A20" s="186">
        <f t="shared" si="11"/>
        <v>2036</v>
      </c>
      <c r="B20" s="187">
        <f t="shared" si="12"/>
        <v>14</v>
      </c>
      <c r="C20" s="67">
        <f>'VHT Savings'!D26</f>
        <v>2490198.6178615601</v>
      </c>
      <c r="D20" s="67">
        <f>'Vehicle Operating Cost Savings'!D27</f>
        <v>1380096.5907499997</v>
      </c>
      <c r="E20" s="67">
        <f>'Crash Costs Summary'!K25</f>
        <v>0</v>
      </c>
      <c r="F20" s="411"/>
      <c r="G20" s="411"/>
      <c r="H20" s="169">
        <f>C20+D20+E20+F20</f>
        <v>3870295.2086115601</v>
      </c>
      <c r="I20" s="197">
        <f t="shared" si="3"/>
        <v>0.36244601964235967</v>
      </c>
      <c r="J20" s="309">
        <f>I20*H20</f>
        <v>1402773.093202156</v>
      </c>
      <c r="K20" s="244">
        <f t="shared" si="5"/>
        <v>0.64186194739671765</v>
      </c>
      <c r="L20" s="269">
        <f t="shared" si="13"/>
        <v>2484195.2195996013</v>
      </c>
      <c r="M20" s="2"/>
      <c r="N20" s="237">
        <f>'Funding Assumptions'!T43</f>
        <v>0</v>
      </c>
      <c r="O20" s="239"/>
      <c r="P20" s="238"/>
      <c r="Q20" s="198">
        <f t="shared" si="7"/>
        <v>0.36244601964235967</v>
      </c>
      <c r="R20" s="241">
        <f t="shared" si="14"/>
        <v>0</v>
      </c>
      <c r="S20" s="244">
        <f t="shared" si="9"/>
        <v>0.64186194739671765</v>
      </c>
      <c r="T20" s="242">
        <f t="shared" si="10"/>
        <v>0</v>
      </c>
      <c r="U20" s="202">
        <f t="shared" si="1"/>
        <v>1402773.093202156</v>
      </c>
      <c r="V20" s="203">
        <f t="shared" si="2"/>
        <v>2484195.2195996013</v>
      </c>
      <c r="X20" s="425"/>
      <c r="Y20" s="425"/>
    </row>
    <row r="21" spans="1:26" x14ac:dyDescent="0.3">
      <c r="A21" s="186">
        <f t="shared" si="11"/>
        <v>2037</v>
      </c>
      <c r="B21" s="187">
        <f t="shared" si="12"/>
        <v>15</v>
      </c>
      <c r="C21" s="67">
        <f>'VHT Savings'!D27</f>
        <v>2505475.9099956797</v>
      </c>
      <c r="D21" s="67">
        <f>'Vehicle Operating Cost Savings'!D28</f>
        <v>1388563.4410000001</v>
      </c>
      <c r="E21" s="67">
        <f>'Crash Costs Summary'!K26</f>
        <v>0</v>
      </c>
      <c r="F21" s="411"/>
      <c r="G21" s="411"/>
      <c r="H21" s="169">
        <f t="shared" ref="H21:H38" si="15">C21+D21+E21+F21</f>
        <v>3894039.3509956799</v>
      </c>
      <c r="I21" s="197">
        <f t="shared" si="3"/>
        <v>0.33873459779659787</v>
      </c>
      <c r="J21" s="309">
        <f t="shared" si="4"/>
        <v>1319045.8533636467</v>
      </c>
      <c r="K21" s="244">
        <f t="shared" si="5"/>
        <v>0.62316693922011435</v>
      </c>
      <c r="L21" s="269">
        <f t="shared" ref="L21:L36" si="16">K21*H21</f>
        <v>2426636.5835626582</v>
      </c>
      <c r="M21" s="2"/>
      <c r="N21" s="237">
        <v>0</v>
      </c>
      <c r="O21" s="37"/>
      <c r="P21" s="238"/>
      <c r="Q21" s="198">
        <f t="shared" si="7"/>
        <v>0.33873459779659787</v>
      </c>
      <c r="R21" s="241">
        <f t="shared" ref="R21:R36" si="17">Q21*P21</f>
        <v>0</v>
      </c>
      <c r="S21" s="244">
        <f t="shared" si="9"/>
        <v>0.62316693922011435</v>
      </c>
      <c r="T21" s="242">
        <f t="shared" si="10"/>
        <v>0</v>
      </c>
      <c r="U21" s="202">
        <f t="shared" si="1"/>
        <v>1319045.8533636467</v>
      </c>
      <c r="V21" s="203">
        <f t="shared" si="2"/>
        <v>2426636.5835626582</v>
      </c>
      <c r="X21" s="425"/>
      <c r="Y21" s="425"/>
    </row>
    <row r="22" spans="1:26" x14ac:dyDescent="0.3">
      <c r="A22" s="186">
        <f t="shared" si="11"/>
        <v>2038</v>
      </c>
      <c r="B22" s="187">
        <f t="shared" si="12"/>
        <v>16</v>
      </c>
      <c r="C22" s="67">
        <f>'VHT Savings'!D28</f>
        <v>2520753.2021297999</v>
      </c>
      <c r="D22" s="67">
        <f>'Vehicle Operating Cost Savings'!D29</f>
        <v>1397030.29125</v>
      </c>
      <c r="E22" s="67">
        <f>'Crash Costs Summary'!K27</f>
        <v>0</v>
      </c>
      <c r="F22" s="411"/>
      <c r="G22" s="411"/>
      <c r="H22" s="169">
        <f t="shared" si="15"/>
        <v>3917783.4933797996</v>
      </c>
      <c r="I22" s="197">
        <f t="shared" si="3"/>
        <v>0.31657439046411018</v>
      </c>
      <c r="J22" s="309">
        <f t="shared" si="4"/>
        <v>1240269.9213870624</v>
      </c>
      <c r="K22" s="244">
        <f t="shared" si="5"/>
        <v>0.60501644584477121</v>
      </c>
      <c r="L22" s="269">
        <f t="shared" si="16"/>
        <v>2370323.4447539579</v>
      </c>
      <c r="M22" s="2"/>
      <c r="N22" s="237">
        <v>0</v>
      </c>
      <c r="O22" s="37"/>
      <c r="P22" s="238"/>
      <c r="Q22" s="198">
        <f t="shared" si="7"/>
        <v>0.31657439046411018</v>
      </c>
      <c r="R22" s="241">
        <f t="shared" si="17"/>
        <v>0</v>
      </c>
      <c r="S22" s="244">
        <f t="shared" si="9"/>
        <v>0.60501644584477121</v>
      </c>
      <c r="T22" s="242">
        <f t="shared" si="10"/>
        <v>0</v>
      </c>
      <c r="U22" s="202">
        <f t="shared" si="1"/>
        <v>1240269.9213870624</v>
      </c>
      <c r="V22" s="203">
        <f t="shared" si="2"/>
        <v>2370323.4447539579</v>
      </c>
      <c r="X22" s="425"/>
      <c r="Y22" s="425"/>
    </row>
    <row r="23" spans="1:26" x14ac:dyDescent="0.3">
      <c r="A23" s="186">
        <f t="shared" si="11"/>
        <v>2039</v>
      </c>
      <c r="B23" s="187">
        <f t="shared" si="12"/>
        <v>17</v>
      </c>
      <c r="C23" s="67">
        <f>'VHT Savings'!D29</f>
        <v>2536030.49426392</v>
      </c>
      <c r="D23" s="67">
        <f>'Vehicle Operating Cost Savings'!D30</f>
        <v>1405497.1414999999</v>
      </c>
      <c r="E23" s="67">
        <f>'Crash Costs Summary'!K28</f>
        <v>0</v>
      </c>
      <c r="F23" s="411"/>
      <c r="G23" s="411"/>
      <c r="H23" s="169">
        <f t="shared" si="15"/>
        <v>3941527.6357639199</v>
      </c>
      <c r="I23" s="197">
        <f t="shared" si="3"/>
        <v>0.29586391632159825</v>
      </c>
      <c r="J23" s="309">
        <f t="shared" si="4"/>
        <v>1166155.8026069235</v>
      </c>
      <c r="K23" s="244">
        <f t="shared" si="5"/>
        <v>0.5873946076162827</v>
      </c>
      <c r="L23" s="269">
        <f t="shared" si="16"/>
        <v>2315232.0790182822</v>
      </c>
      <c r="M23" s="2"/>
      <c r="N23" s="237">
        <v>0</v>
      </c>
      <c r="O23" s="37"/>
      <c r="P23" s="238"/>
      <c r="Q23" s="198">
        <f t="shared" si="7"/>
        <v>0.29586391632159825</v>
      </c>
      <c r="R23" s="241">
        <f t="shared" si="17"/>
        <v>0</v>
      </c>
      <c r="S23" s="244">
        <f t="shared" si="9"/>
        <v>0.5873946076162827</v>
      </c>
      <c r="T23" s="242">
        <f t="shared" si="10"/>
        <v>0</v>
      </c>
      <c r="U23" s="202">
        <f t="shared" si="1"/>
        <v>1166155.8026069235</v>
      </c>
      <c r="V23" s="203">
        <f t="shared" si="2"/>
        <v>2315232.0790182822</v>
      </c>
      <c r="X23" s="425"/>
      <c r="Y23" s="425"/>
    </row>
    <row r="24" spans="1:26" x14ac:dyDescent="0.3">
      <c r="A24" s="186">
        <f t="shared" si="11"/>
        <v>2040</v>
      </c>
      <c r="B24" s="187">
        <f t="shared" si="12"/>
        <v>18</v>
      </c>
      <c r="C24" s="67">
        <f>'VHT Savings'!D30</f>
        <v>2551307.7863980397</v>
      </c>
      <c r="D24" s="67">
        <f>'Vehicle Operating Cost Savings'!D31</f>
        <v>1413963.9917499998</v>
      </c>
      <c r="E24" s="67">
        <f>'Crash Costs Summary'!K29</f>
        <v>0</v>
      </c>
      <c r="F24" s="411"/>
      <c r="G24" s="411"/>
      <c r="H24" s="169">
        <f t="shared" si="15"/>
        <v>3965271.7781480392</v>
      </c>
      <c r="I24" s="197">
        <f t="shared" si="3"/>
        <v>0.27650833301083949</v>
      </c>
      <c r="J24" s="309">
        <f t="shared" si="4"/>
        <v>1096430.6893106417</v>
      </c>
      <c r="K24" s="244">
        <f t="shared" si="5"/>
        <v>0.57028602681192497</v>
      </c>
      <c r="L24" s="269">
        <f t="shared" si="16"/>
        <v>2261339.0875895023</v>
      </c>
      <c r="M24" s="2"/>
      <c r="N24" s="237">
        <v>0</v>
      </c>
      <c r="O24" s="37"/>
      <c r="P24" s="238"/>
      <c r="Q24" s="198">
        <f t="shared" si="7"/>
        <v>0.27650833301083949</v>
      </c>
      <c r="R24" s="241">
        <f t="shared" si="17"/>
        <v>0</v>
      </c>
      <c r="S24" s="244">
        <f t="shared" si="9"/>
        <v>0.57028602681192497</v>
      </c>
      <c r="T24" s="242">
        <f t="shared" si="10"/>
        <v>0</v>
      </c>
      <c r="U24" s="202">
        <f t="shared" si="1"/>
        <v>1096430.6893106417</v>
      </c>
      <c r="V24" s="203">
        <f t="shared" si="2"/>
        <v>2261339.0875895023</v>
      </c>
      <c r="X24" s="425"/>
      <c r="Y24" s="425"/>
    </row>
    <row r="25" spans="1:26" x14ac:dyDescent="0.3">
      <c r="A25" s="186">
        <f t="shared" si="11"/>
        <v>2041</v>
      </c>
      <c r="B25" s="187">
        <f t="shared" si="12"/>
        <v>19</v>
      </c>
      <c r="C25" s="67">
        <f>'VHT Savings'!D31</f>
        <v>2566585.0785321598</v>
      </c>
      <c r="D25" s="67">
        <f>'Vehicle Operating Cost Savings'!D32</f>
        <v>1422430.8419999997</v>
      </c>
      <c r="E25" s="67">
        <f>'Crash Costs Summary'!K30</f>
        <v>0</v>
      </c>
      <c r="F25" s="411"/>
      <c r="G25" s="411"/>
      <c r="H25" s="169">
        <f t="shared" si="15"/>
        <v>3989015.9205321595</v>
      </c>
      <c r="I25" s="197">
        <f t="shared" si="3"/>
        <v>0.2584190028138687</v>
      </c>
      <c r="J25" s="309">
        <f t="shared" si="4"/>
        <v>1030837.5163925672</v>
      </c>
      <c r="K25" s="244">
        <f t="shared" si="5"/>
        <v>0.55367575418633497</v>
      </c>
      <c r="L25" s="269">
        <f t="shared" si="16"/>
        <v>2208621.3982619406</v>
      </c>
      <c r="M25" s="2"/>
      <c r="N25" s="237">
        <v>0</v>
      </c>
      <c r="O25" s="37"/>
      <c r="P25" s="238"/>
      <c r="Q25" s="198">
        <f t="shared" si="7"/>
        <v>0.2584190028138687</v>
      </c>
      <c r="R25" s="241">
        <f>Q25*P25</f>
        <v>0</v>
      </c>
      <c r="S25" s="244">
        <f t="shared" si="9"/>
        <v>0.55367575418633497</v>
      </c>
      <c r="T25" s="242">
        <f t="shared" si="10"/>
        <v>0</v>
      </c>
      <c r="U25" s="202">
        <f t="shared" si="1"/>
        <v>1030837.5163925672</v>
      </c>
      <c r="V25" s="203">
        <f t="shared" si="2"/>
        <v>2208621.3982619406</v>
      </c>
      <c r="X25" s="425"/>
      <c r="Y25" s="425"/>
    </row>
    <row r="26" spans="1:26" x14ac:dyDescent="0.3">
      <c r="A26" s="186">
        <f t="shared" si="11"/>
        <v>2042</v>
      </c>
      <c r="B26" s="187">
        <f t="shared" si="12"/>
        <v>20</v>
      </c>
      <c r="C26" s="67">
        <f>'VHT Savings'!D32</f>
        <v>2581862.3706662799</v>
      </c>
      <c r="D26" s="67">
        <f>'Vehicle Operating Cost Savings'!D33</f>
        <v>1430897.6922499998</v>
      </c>
      <c r="E26" s="67">
        <f>'Crash Costs Summary'!K31</f>
        <v>0</v>
      </c>
      <c r="F26" s="411"/>
      <c r="G26" s="411"/>
      <c r="H26" s="169">
        <f t="shared" si="15"/>
        <v>4012760.0629162798</v>
      </c>
      <c r="I26" s="197">
        <f t="shared" si="3"/>
        <v>0.24151308674193336</v>
      </c>
      <c r="J26" s="309">
        <f t="shared" si="4"/>
        <v>969134.06914966542</v>
      </c>
      <c r="K26" s="244">
        <f t="shared" si="5"/>
        <v>0.5375492759090631</v>
      </c>
      <c r="L26" s="269">
        <f t="shared" si="16"/>
        <v>2157056.2662174525</v>
      </c>
      <c r="M26" s="2"/>
      <c r="N26" s="237">
        <v>0</v>
      </c>
      <c r="O26" s="37"/>
      <c r="P26" s="238"/>
      <c r="Q26" s="198">
        <f t="shared" si="7"/>
        <v>0.24151308674193336</v>
      </c>
      <c r="R26" s="241">
        <f t="shared" si="17"/>
        <v>0</v>
      </c>
      <c r="S26" s="244">
        <f t="shared" si="9"/>
        <v>0.5375492759090631</v>
      </c>
      <c r="T26" s="242">
        <f t="shared" si="10"/>
        <v>0</v>
      </c>
      <c r="U26" s="202">
        <f t="shared" si="1"/>
        <v>969134.06914966542</v>
      </c>
      <c r="V26" s="203">
        <f t="shared" si="2"/>
        <v>2157056.2662174525</v>
      </c>
      <c r="X26" s="425"/>
      <c r="Y26" s="425"/>
    </row>
    <row r="27" spans="1:26" x14ac:dyDescent="0.3">
      <c r="A27" s="186">
        <f t="shared" si="11"/>
        <v>2043</v>
      </c>
      <c r="B27" s="187">
        <f t="shared" si="12"/>
        <v>21</v>
      </c>
      <c r="C27" s="67">
        <f>'VHT Savings'!D33</f>
        <v>2597139.6628003996</v>
      </c>
      <c r="D27" s="67">
        <f>'Vehicle Operating Cost Savings'!D34</f>
        <v>1439364.5425</v>
      </c>
      <c r="E27" s="67">
        <f>'Crash Costs Summary'!K32</f>
        <v>0</v>
      </c>
      <c r="F27" s="411"/>
      <c r="G27" s="411"/>
      <c r="H27" s="169">
        <f t="shared" si="15"/>
        <v>4036504.2053003996</v>
      </c>
      <c r="I27" s="197">
        <f t="shared" si="3"/>
        <v>0.22571316517937698</v>
      </c>
      <c r="J27" s="309">
        <f t="shared" si="4"/>
        <v>911092.14043821883</v>
      </c>
      <c r="K27" s="244">
        <f t="shared" si="5"/>
        <v>0.52189250088258554</v>
      </c>
      <c r="L27" s="269">
        <f t="shared" si="16"/>
        <v>2106621.2745272992</v>
      </c>
      <c r="M27" s="2"/>
      <c r="N27" s="237">
        <v>0</v>
      </c>
      <c r="O27" s="37"/>
      <c r="P27" s="238"/>
      <c r="Q27" s="198">
        <f t="shared" si="7"/>
        <v>0.22571316517937698</v>
      </c>
      <c r="R27" s="241">
        <f t="shared" si="17"/>
        <v>0</v>
      </c>
      <c r="S27" s="244">
        <f t="shared" si="9"/>
        <v>0.52189250088258554</v>
      </c>
      <c r="T27" s="242">
        <f t="shared" si="10"/>
        <v>0</v>
      </c>
      <c r="U27" s="202">
        <f t="shared" si="1"/>
        <v>911092.14043821883</v>
      </c>
      <c r="V27" s="203">
        <f t="shared" si="2"/>
        <v>2106621.2745272992</v>
      </c>
      <c r="X27" s="425"/>
      <c r="Y27" s="425"/>
    </row>
    <row r="28" spans="1:26" x14ac:dyDescent="0.3">
      <c r="A28" s="186">
        <f t="shared" si="11"/>
        <v>2044</v>
      </c>
      <c r="B28" s="187">
        <f t="shared" si="12"/>
        <v>22</v>
      </c>
      <c r="C28" s="67">
        <f>'VHT Savings'!D34</f>
        <v>2612416.9549345197</v>
      </c>
      <c r="D28" s="67">
        <f>'Vehicle Operating Cost Savings'!D35</f>
        <v>1447831.3927499999</v>
      </c>
      <c r="E28" s="67">
        <f>'Crash Costs Summary'!K33</f>
        <v>0</v>
      </c>
      <c r="F28" s="411"/>
      <c r="G28" s="411"/>
      <c r="H28" s="169">
        <f t="shared" si="15"/>
        <v>4060248.3476845194</v>
      </c>
      <c r="I28" s="197">
        <f t="shared" si="3"/>
        <v>0.21094688334521211</v>
      </c>
      <c r="J28" s="309">
        <f t="shared" si="4"/>
        <v>856496.73455159657</v>
      </c>
      <c r="K28" s="244">
        <f t="shared" si="5"/>
        <v>0.50669174842969467</v>
      </c>
      <c r="L28" s="269">
        <f t="shared" si="16"/>
        <v>2057294.3343470478</v>
      </c>
      <c r="M28" s="2"/>
      <c r="N28" s="237">
        <v>0</v>
      </c>
      <c r="O28" s="37"/>
      <c r="P28" s="238"/>
      <c r="Q28" s="198">
        <f t="shared" si="7"/>
        <v>0.21094688334521211</v>
      </c>
      <c r="R28" s="241">
        <f t="shared" si="17"/>
        <v>0</v>
      </c>
      <c r="S28" s="244">
        <f t="shared" si="9"/>
        <v>0.50669174842969467</v>
      </c>
      <c r="T28" s="242">
        <f t="shared" si="10"/>
        <v>0</v>
      </c>
      <c r="U28" s="202">
        <f t="shared" si="1"/>
        <v>856496.73455159657</v>
      </c>
      <c r="V28" s="203">
        <f t="shared" si="2"/>
        <v>2057294.3343470478</v>
      </c>
      <c r="X28" s="425"/>
      <c r="Y28" s="425"/>
    </row>
    <row r="29" spans="1:26" x14ac:dyDescent="0.3">
      <c r="A29" s="186">
        <f t="shared" si="11"/>
        <v>2045</v>
      </c>
      <c r="B29" s="187">
        <f t="shared" si="12"/>
        <v>23</v>
      </c>
      <c r="C29" s="67">
        <f>'VHT Savings'!D35</f>
        <v>2627694.2470686398</v>
      </c>
      <c r="D29" s="67">
        <f>'Vehicle Operating Cost Savings'!D36</f>
        <v>1456298.2429999998</v>
      </c>
      <c r="E29" s="67">
        <f>'Crash Costs Summary'!K34</f>
        <v>0</v>
      </c>
      <c r="F29" s="411"/>
      <c r="G29" s="411"/>
      <c r="H29" s="169">
        <f t="shared" si="15"/>
        <v>4083992.4900686396</v>
      </c>
      <c r="I29" s="197">
        <f t="shared" si="3"/>
        <v>0.19714661994879637</v>
      </c>
      <c r="J29" s="309">
        <f t="shared" si="4"/>
        <v>805145.31531330058</v>
      </c>
      <c r="K29" s="244">
        <f t="shared" si="5"/>
        <v>0.49193373633950943</v>
      </c>
      <c r="L29" s="269">
        <f t="shared" si="16"/>
        <v>2009053.6848219628</v>
      </c>
      <c r="M29" s="2"/>
      <c r="N29" s="237">
        <v>0</v>
      </c>
      <c r="O29" s="37"/>
      <c r="P29" s="238"/>
      <c r="Q29" s="198">
        <f t="shared" si="7"/>
        <v>0.19714661994879637</v>
      </c>
      <c r="R29" s="241">
        <f t="shared" si="17"/>
        <v>0</v>
      </c>
      <c r="S29" s="244">
        <f t="shared" si="9"/>
        <v>0.49193373633950943</v>
      </c>
      <c r="T29" s="242">
        <f t="shared" si="10"/>
        <v>0</v>
      </c>
      <c r="U29" s="202">
        <f t="shared" si="1"/>
        <v>805145.31531330058</v>
      </c>
      <c r="V29" s="203">
        <f t="shared" si="2"/>
        <v>2009053.6848219628</v>
      </c>
      <c r="X29" s="425"/>
      <c r="Y29" s="425"/>
    </row>
    <row r="30" spans="1:26" x14ac:dyDescent="0.3">
      <c r="A30" s="186">
        <f t="shared" si="11"/>
        <v>2046</v>
      </c>
      <c r="B30" s="187">
        <f t="shared" si="12"/>
        <v>24</v>
      </c>
      <c r="C30" s="67">
        <f>'VHT Savings'!D36</f>
        <v>2642971.5392027595</v>
      </c>
      <c r="D30" s="67">
        <f>'Vehicle Operating Cost Savings'!D37</f>
        <v>1464765.0932499999</v>
      </c>
      <c r="E30" s="67">
        <f>'Crash Costs Summary'!K35</f>
        <v>0</v>
      </c>
      <c r="F30" s="411"/>
      <c r="G30" s="411"/>
      <c r="H30" s="169">
        <f t="shared" si="15"/>
        <v>4107736.6324527594</v>
      </c>
      <c r="I30" s="197">
        <f t="shared" si="3"/>
        <v>0.18424917752223957</v>
      </c>
      <c r="J30" s="309">
        <f t="shared" si="4"/>
        <v>756847.09600739507</v>
      </c>
      <c r="K30" s="244">
        <f t="shared" si="5"/>
        <v>0.47760556926165965</v>
      </c>
      <c r="L30" s="269">
        <f t="shared" si="16"/>
        <v>1961877.8927195729</v>
      </c>
      <c r="M30" s="2"/>
      <c r="N30" s="237">
        <v>0</v>
      </c>
      <c r="O30" s="37"/>
      <c r="P30" s="238"/>
      <c r="Q30" s="198">
        <f t="shared" si="7"/>
        <v>0.18424917752223957</v>
      </c>
      <c r="R30" s="241">
        <f t="shared" si="17"/>
        <v>0</v>
      </c>
      <c r="S30" s="244">
        <f t="shared" si="9"/>
        <v>0.47760556926165965</v>
      </c>
      <c r="T30" s="242">
        <f t="shared" si="10"/>
        <v>0</v>
      </c>
      <c r="U30" s="202">
        <f t="shared" si="1"/>
        <v>756847.09600739507</v>
      </c>
      <c r="V30" s="203">
        <f t="shared" si="2"/>
        <v>1961877.8927195729</v>
      </c>
      <c r="X30" s="425"/>
      <c r="Y30" s="425"/>
    </row>
    <row r="31" spans="1:26" x14ac:dyDescent="0.3">
      <c r="A31" s="186">
        <f t="shared" si="11"/>
        <v>2047</v>
      </c>
      <c r="B31" s="187">
        <f t="shared" si="12"/>
        <v>25</v>
      </c>
      <c r="C31" s="67">
        <f>'VHT Savings'!D37</f>
        <v>2658248.8313368796</v>
      </c>
      <c r="D31" s="67">
        <f>'Vehicle Operating Cost Savings'!D38</f>
        <v>1473231.9434999998</v>
      </c>
      <c r="E31" s="67">
        <f>'Crash Costs Summary'!K36</f>
        <v>0</v>
      </c>
      <c r="F31" s="411"/>
      <c r="G31" s="411"/>
      <c r="H31" s="169">
        <f t="shared" si="15"/>
        <v>4131480.7748368792</v>
      </c>
      <c r="I31" s="197">
        <f t="shared" si="3"/>
        <v>0.17219549301143888</v>
      </c>
      <c r="J31" s="309">
        <f t="shared" si="4"/>
        <v>711422.36889031797</v>
      </c>
      <c r="K31" s="244">
        <f t="shared" si="5"/>
        <v>0.46369472743850448</v>
      </c>
      <c r="L31" s="269">
        <f t="shared" si="16"/>
        <v>1915745.851805408</v>
      </c>
      <c r="M31" s="2"/>
      <c r="N31" s="237">
        <v>0</v>
      </c>
      <c r="O31" s="37"/>
      <c r="P31" s="238"/>
      <c r="Q31" s="198">
        <f t="shared" si="7"/>
        <v>0.17219549301143888</v>
      </c>
      <c r="R31" s="241">
        <f t="shared" si="17"/>
        <v>0</v>
      </c>
      <c r="S31" s="244">
        <f t="shared" si="9"/>
        <v>0.46369472743850448</v>
      </c>
      <c r="T31" s="242">
        <f t="shared" si="10"/>
        <v>0</v>
      </c>
      <c r="U31" s="202">
        <f t="shared" si="1"/>
        <v>711422.36889031797</v>
      </c>
      <c r="V31" s="203">
        <f t="shared" si="2"/>
        <v>1915745.851805408</v>
      </c>
      <c r="X31" s="425"/>
      <c r="Y31" s="425"/>
    </row>
    <row r="32" spans="1:26" x14ac:dyDescent="0.3">
      <c r="A32" s="186">
        <f t="shared" si="11"/>
        <v>2048</v>
      </c>
      <c r="B32" s="187">
        <f t="shared" si="12"/>
        <v>26</v>
      </c>
      <c r="C32" s="67">
        <f>'VHT Savings'!D38</f>
        <v>2673526.1234709998</v>
      </c>
      <c r="D32" s="67">
        <f>'Vehicle Operating Cost Savings'!D39</f>
        <v>1481698.7937499997</v>
      </c>
      <c r="E32" s="67">
        <f>'Crash Costs Summary'!K37</f>
        <v>0</v>
      </c>
      <c r="F32" s="411"/>
      <c r="G32" s="411"/>
      <c r="H32" s="169">
        <f t="shared" si="15"/>
        <v>4155224.9172209995</v>
      </c>
      <c r="I32" s="197">
        <f t="shared" si="3"/>
        <v>0.16093036730041013</v>
      </c>
      <c r="J32" s="309">
        <f t="shared" si="4"/>
        <v>668701.87214419176</v>
      </c>
      <c r="K32" s="244">
        <f t="shared" si="5"/>
        <v>0.45018905576553836</v>
      </c>
      <c r="L32" s="269">
        <f t="shared" si="16"/>
        <v>1870636.781977159</v>
      </c>
      <c r="M32" s="2"/>
      <c r="N32" s="237">
        <v>0</v>
      </c>
      <c r="O32" s="37"/>
      <c r="P32" s="238"/>
      <c r="Q32" s="198">
        <f t="shared" si="7"/>
        <v>0.16093036730041013</v>
      </c>
      <c r="R32" s="241">
        <f t="shared" si="17"/>
        <v>0</v>
      </c>
      <c r="S32" s="244">
        <f t="shared" si="9"/>
        <v>0.45018905576553836</v>
      </c>
      <c r="T32" s="242">
        <f t="shared" si="10"/>
        <v>0</v>
      </c>
      <c r="U32" s="202">
        <f t="shared" si="1"/>
        <v>668701.87214419176</v>
      </c>
      <c r="V32" s="203">
        <f t="shared" si="2"/>
        <v>1870636.781977159</v>
      </c>
      <c r="X32" s="425"/>
      <c r="Y32" s="425"/>
    </row>
    <row r="33" spans="1:26" x14ac:dyDescent="0.3">
      <c r="A33" s="186">
        <f t="shared" si="11"/>
        <v>2049</v>
      </c>
      <c r="B33" s="187">
        <f t="shared" si="12"/>
        <v>27</v>
      </c>
      <c r="C33" s="67">
        <f>'VHT Savings'!D39</f>
        <v>2688803.4156051194</v>
      </c>
      <c r="D33" s="67">
        <f>'Vehicle Operating Cost Savings'!D40</f>
        <v>1490165.6439999999</v>
      </c>
      <c r="E33" s="67">
        <f>'Crash Costs Summary'!K38</f>
        <v>0</v>
      </c>
      <c r="F33" s="411"/>
      <c r="G33" s="411"/>
      <c r="H33" s="169">
        <f t="shared" si="15"/>
        <v>4178969.0596051193</v>
      </c>
      <c r="I33" s="197">
        <f t="shared" si="3"/>
        <v>0.15040221243028987</v>
      </c>
      <c r="J33" s="309">
        <f t="shared" si="4"/>
        <v>628526.19224233786</v>
      </c>
      <c r="K33" s="244">
        <f t="shared" si="5"/>
        <v>0.4370767531704256</v>
      </c>
      <c r="L33" s="269">
        <f t="shared" si="16"/>
        <v>1826530.2281718722</v>
      </c>
      <c r="M33" s="2"/>
      <c r="N33" s="237">
        <v>0</v>
      </c>
      <c r="O33" s="37"/>
      <c r="P33" s="238"/>
      <c r="Q33" s="198">
        <f t="shared" si="7"/>
        <v>0.15040221243028987</v>
      </c>
      <c r="R33" s="241">
        <f t="shared" si="17"/>
        <v>0</v>
      </c>
      <c r="S33" s="244">
        <f t="shared" si="9"/>
        <v>0.4370767531704256</v>
      </c>
      <c r="T33" s="242">
        <f t="shared" si="10"/>
        <v>0</v>
      </c>
      <c r="U33" s="202">
        <f t="shared" si="1"/>
        <v>628526.19224233786</v>
      </c>
      <c r="V33" s="203">
        <f t="shared" si="2"/>
        <v>1826530.2281718722</v>
      </c>
      <c r="X33" s="425"/>
      <c r="Y33" s="425"/>
    </row>
    <row r="34" spans="1:26" x14ac:dyDescent="0.3">
      <c r="A34" s="186">
        <f t="shared" si="11"/>
        <v>2050</v>
      </c>
      <c r="B34" s="187">
        <f t="shared" si="12"/>
        <v>28</v>
      </c>
      <c r="C34" s="67">
        <f>'VHT Savings'!D40</f>
        <v>2704080.7077392396</v>
      </c>
      <c r="D34" s="67">
        <f>'Vehicle Operating Cost Savings'!D41</f>
        <v>1498632.4942499998</v>
      </c>
      <c r="E34" s="67">
        <f>'Crash Costs Summary'!K39</f>
        <v>0</v>
      </c>
      <c r="F34" s="411"/>
      <c r="G34" s="411"/>
      <c r="H34" s="169">
        <f t="shared" si="15"/>
        <v>4202713.2019892391</v>
      </c>
      <c r="I34" s="197">
        <f t="shared" si="3"/>
        <v>0.1405628153554111</v>
      </c>
      <c r="J34" s="309">
        <f t="shared" si="4"/>
        <v>590745.1998029619</v>
      </c>
      <c r="K34" s="244">
        <f t="shared" si="5"/>
        <v>0.42434636230138412</v>
      </c>
      <c r="L34" s="269">
        <f t="shared" si="16"/>
        <v>1783406.0590601359</v>
      </c>
      <c r="M34" s="2"/>
      <c r="N34" s="237">
        <v>0</v>
      </c>
      <c r="O34" s="37"/>
      <c r="P34" s="238"/>
      <c r="Q34" s="198">
        <f t="shared" si="7"/>
        <v>0.1405628153554111</v>
      </c>
      <c r="R34" s="241">
        <f t="shared" si="17"/>
        <v>0</v>
      </c>
      <c r="S34" s="244">
        <f t="shared" si="9"/>
        <v>0.42434636230138412</v>
      </c>
      <c r="T34" s="242">
        <f t="shared" si="10"/>
        <v>0</v>
      </c>
      <c r="U34" s="202">
        <f t="shared" si="1"/>
        <v>590745.1998029619</v>
      </c>
      <c r="V34" s="203">
        <f t="shared" si="2"/>
        <v>1783406.0590601359</v>
      </c>
      <c r="X34" s="425"/>
      <c r="Y34" s="425"/>
    </row>
    <row r="35" spans="1:26" x14ac:dyDescent="0.3">
      <c r="A35" s="186">
        <f t="shared" si="11"/>
        <v>2051</v>
      </c>
      <c r="B35" s="187">
        <f t="shared" si="12"/>
        <v>29</v>
      </c>
      <c r="C35" s="67">
        <f>'VHT Savings'!D41</f>
        <v>2719357.9998733602</v>
      </c>
      <c r="D35" s="67">
        <f>'Vehicle Operating Cost Savings'!D42</f>
        <v>1507099.3444999999</v>
      </c>
      <c r="E35" s="67">
        <f>'Crash Costs Summary'!K40</f>
        <v>0</v>
      </c>
      <c r="F35" s="411"/>
      <c r="G35" s="411"/>
      <c r="H35" s="169">
        <f t="shared" si="15"/>
        <v>4226457.3443733603</v>
      </c>
      <c r="I35" s="197">
        <f t="shared" si="3"/>
        <v>0.13136711715458982</v>
      </c>
      <c r="J35" s="309">
        <f t="shared" si="4"/>
        <v>555217.51710717182</v>
      </c>
      <c r="K35" s="244">
        <f t="shared" si="5"/>
        <v>0.41198675951590691</v>
      </c>
      <c r="L35" s="269">
        <f t="shared" si="16"/>
        <v>1741244.465540586</v>
      </c>
      <c r="M35" s="2"/>
      <c r="N35" s="237">
        <v>0</v>
      </c>
      <c r="O35" s="37"/>
      <c r="P35" s="238"/>
      <c r="Q35" s="198">
        <f t="shared" si="7"/>
        <v>0.13136711715458982</v>
      </c>
      <c r="R35" s="241">
        <f t="shared" si="17"/>
        <v>0</v>
      </c>
      <c r="S35" s="244">
        <f t="shared" si="9"/>
        <v>0.41198675951590691</v>
      </c>
      <c r="T35" s="242">
        <f t="shared" si="10"/>
        <v>0</v>
      </c>
      <c r="U35" s="202">
        <f t="shared" si="1"/>
        <v>555217.51710717182</v>
      </c>
      <c r="V35" s="203">
        <f t="shared" si="2"/>
        <v>1741244.465540586</v>
      </c>
      <c r="X35" s="425"/>
      <c r="Y35" s="425"/>
    </row>
    <row r="36" spans="1:26" x14ac:dyDescent="0.3">
      <c r="A36" s="186">
        <f t="shared" si="11"/>
        <v>2052</v>
      </c>
      <c r="B36" s="187">
        <f t="shared" si="12"/>
        <v>30</v>
      </c>
      <c r="C36" s="67">
        <f>'VHT Savings'!D42</f>
        <v>2734635.2920074798</v>
      </c>
      <c r="D36" s="67">
        <f>'Vehicle Operating Cost Savings'!D43</f>
        <v>1515566.1947499998</v>
      </c>
      <c r="E36" s="67">
        <f>'Crash Costs Summary'!K41</f>
        <v>0</v>
      </c>
      <c r="F36" s="411"/>
      <c r="G36" s="411"/>
      <c r="H36" s="169">
        <f t="shared" si="15"/>
        <v>4250201.4867574796</v>
      </c>
      <c r="I36" s="197">
        <f t="shared" si="3"/>
        <v>0.1227730066865325</v>
      </c>
      <c r="J36" s="309">
        <f t="shared" si="4"/>
        <v>521810.01555278641</v>
      </c>
      <c r="K36" s="244">
        <f t="shared" si="5"/>
        <v>0.39998714516107459</v>
      </c>
      <c r="L36" s="269">
        <f t="shared" si="16"/>
        <v>1700025.9590474791</v>
      </c>
      <c r="M36" s="3"/>
      <c r="N36" s="237">
        <v>0</v>
      </c>
      <c r="O36" s="37"/>
      <c r="P36" s="238"/>
      <c r="Q36" s="198">
        <f t="shared" si="7"/>
        <v>0.1227730066865325</v>
      </c>
      <c r="R36" s="241">
        <f t="shared" si="17"/>
        <v>0</v>
      </c>
      <c r="S36" s="244">
        <f t="shared" si="9"/>
        <v>0.39998714516107459</v>
      </c>
      <c r="T36" s="242">
        <f t="shared" si="10"/>
        <v>0</v>
      </c>
      <c r="U36" s="202">
        <f t="shared" si="1"/>
        <v>521810.01555278641</v>
      </c>
      <c r="V36" s="203">
        <f t="shared" si="2"/>
        <v>1700025.9590474791</v>
      </c>
      <c r="X36" s="425"/>
      <c r="Y36" s="425"/>
    </row>
    <row r="37" spans="1:26" x14ac:dyDescent="0.3">
      <c r="A37" s="186">
        <f t="shared" si="11"/>
        <v>2053</v>
      </c>
      <c r="B37" s="187">
        <f t="shared" si="12"/>
        <v>31</v>
      </c>
      <c r="C37" s="67">
        <f>'VHT Savings'!D43</f>
        <v>2749912.5841415999</v>
      </c>
      <c r="D37" s="67">
        <f>'Vehicle Operating Cost Savings'!D44</f>
        <v>1524033.0449999999</v>
      </c>
      <c r="E37" s="67">
        <f>'Crash Costs Summary'!K42</f>
        <v>0</v>
      </c>
      <c r="F37" s="411"/>
      <c r="G37" s="411"/>
      <c r="H37" s="169">
        <f t="shared" si="15"/>
        <v>4273945.6291415999</v>
      </c>
      <c r="I37" s="197">
        <f t="shared" si="3"/>
        <v>0.11474112774442291</v>
      </c>
      <c r="J37" s="309">
        <f t="shared" si="4"/>
        <v>490397.34140605427</v>
      </c>
      <c r="K37" s="244">
        <f t="shared" si="5"/>
        <v>0.38833703413696569</v>
      </c>
      <c r="L37" s="269">
        <f t="shared" ref="L37:L39" si="18">K37*H37</f>
        <v>1659731.3696834967</v>
      </c>
      <c r="N37" s="237">
        <v>0</v>
      </c>
      <c r="O37" s="37"/>
      <c r="P37" s="238"/>
      <c r="Q37" s="198">
        <f t="shared" si="7"/>
        <v>0.11474112774442291</v>
      </c>
      <c r="R37" s="241">
        <f t="shared" ref="R37:R39" si="19">Q37*P37</f>
        <v>0</v>
      </c>
      <c r="S37" s="244">
        <f t="shared" si="9"/>
        <v>0.38833703413696569</v>
      </c>
      <c r="T37" s="242">
        <f t="shared" ref="T37:T39" si="20">S37*N37</f>
        <v>0</v>
      </c>
      <c r="U37" s="202">
        <f t="shared" ref="U37:U39" si="21">J37-R37</f>
        <v>490397.34140605427</v>
      </c>
      <c r="V37" s="203">
        <f t="shared" ref="V37:V39" si="22">L37-T37</f>
        <v>1659731.3696834967</v>
      </c>
      <c r="X37" s="425"/>
      <c r="Y37" s="425"/>
    </row>
    <row r="38" spans="1:26" x14ac:dyDescent="0.3">
      <c r="A38" s="186">
        <f t="shared" si="11"/>
        <v>2054</v>
      </c>
      <c r="B38" s="187">
        <f t="shared" si="12"/>
        <v>32</v>
      </c>
      <c r="C38" s="67">
        <f>'VHT Savings'!D44</f>
        <v>2765189.8762757196</v>
      </c>
      <c r="D38" s="67">
        <f>'Vehicle Operating Cost Savings'!D45</f>
        <v>1532499.8952499996</v>
      </c>
      <c r="E38" s="67">
        <f>'Crash Costs Summary'!K43</f>
        <v>0</v>
      </c>
      <c r="F38" s="411"/>
      <c r="G38" s="411"/>
      <c r="H38" s="169">
        <f t="shared" si="15"/>
        <v>4297689.7715257192</v>
      </c>
      <c r="I38" s="197">
        <f t="shared" si="3"/>
        <v>0.10723469882656347</v>
      </c>
      <c r="J38" s="309">
        <f t="shared" si="4"/>
        <v>460861.46829956287</v>
      </c>
      <c r="K38" s="244">
        <f t="shared" si="5"/>
        <v>0.37702624673491814</v>
      </c>
      <c r="L38" s="269">
        <f t="shared" si="18"/>
        <v>1620341.8441893898</v>
      </c>
      <c r="N38" s="237">
        <v>0</v>
      </c>
      <c r="O38" s="37"/>
      <c r="P38" s="238"/>
      <c r="Q38" s="198">
        <f t="shared" si="7"/>
        <v>0.10723469882656347</v>
      </c>
      <c r="R38" s="241">
        <f t="shared" si="19"/>
        <v>0</v>
      </c>
      <c r="S38" s="244">
        <f t="shared" si="9"/>
        <v>0.37702624673491814</v>
      </c>
      <c r="T38" s="242">
        <f t="shared" si="20"/>
        <v>0</v>
      </c>
      <c r="U38" s="202">
        <f>J38-R38</f>
        <v>460861.46829956287</v>
      </c>
      <c r="V38" s="203">
        <f t="shared" si="22"/>
        <v>1620341.8441893898</v>
      </c>
      <c r="X38" s="425"/>
      <c r="Y38" s="425"/>
    </row>
    <row r="39" spans="1:26" ht="15" thickBot="1" x14ac:dyDescent="0.35">
      <c r="A39" s="186">
        <f t="shared" si="11"/>
        <v>2055</v>
      </c>
      <c r="B39" s="187">
        <f t="shared" si="12"/>
        <v>33</v>
      </c>
      <c r="C39" s="67">
        <f>'VHT Savings'!D45</f>
        <v>2780467.1684098397</v>
      </c>
      <c r="D39" s="67">
        <f>'Vehicle Operating Cost Savings'!D46</f>
        <v>1540966.7455000002</v>
      </c>
      <c r="E39" s="67">
        <f>'Crash Costs Summary'!K44</f>
        <v>0</v>
      </c>
      <c r="F39" s="411"/>
      <c r="G39" s="422">
        <f>'Residual Bridge Value'!U37</f>
        <v>6500000</v>
      </c>
      <c r="H39" s="169">
        <f>C39+D39+E39+G39</f>
        <v>10821433.913909839</v>
      </c>
      <c r="I39" s="197">
        <f t="shared" si="3"/>
        <v>0.10021934469772288</v>
      </c>
      <c r="J39" s="309">
        <f>I39*H39</f>
        <v>1084517.0155417586</v>
      </c>
      <c r="K39" s="244">
        <f t="shared" si="5"/>
        <v>0.36604489974263904</v>
      </c>
      <c r="L39" s="269">
        <f t="shared" si="18"/>
        <v>3961130.6920887213</v>
      </c>
      <c r="N39" s="237">
        <v>0</v>
      </c>
      <c r="O39" s="37"/>
      <c r="P39" s="238"/>
      <c r="Q39" s="198">
        <f t="shared" si="7"/>
        <v>0.10021934469772288</v>
      </c>
      <c r="R39" s="241">
        <f t="shared" si="19"/>
        <v>0</v>
      </c>
      <c r="S39" s="244">
        <f t="shared" si="9"/>
        <v>0.36604489974263904</v>
      </c>
      <c r="T39" s="242">
        <f t="shared" si="20"/>
        <v>0</v>
      </c>
      <c r="U39" s="202">
        <f t="shared" si="21"/>
        <v>1084517.0155417586</v>
      </c>
      <c r="V39" s="203">
        <f t="shared" si="22"/>
        <v>3961130.6920887213</v>
      </c>
      <c r="X39" s="425"/>
      <c r="Y39" s="425"/>
      <c r="Z39" s="14"/>
    </row>
    <row r="40" spans="1:26" ht="15" thickBot="1" x14ac:dyDescent="0.35">
      <c r="A40" s="6"/>
      <c r="B40" s="168" t="s">
        <v>3</v>
      </c>
      <c r="C40" s="206">
        <f t="shared" ref="C40:H40" si="23">SUM(C7:C39)</f>
        <v>67327026.435066834</v>
      </c>
      <c r="D40" s="207">
        <f>SUM(D7:D39)</f>
        <v>37313409.051749997</v>
      </c>
      <c r="E40" s="207">
        <f t="shared" si="23"/>
        <v>0</v>
      </c>
      <c r="F40" s="207">
        <f>SUM(F7:F39)</f>
        <v>350000</v>
      </c>
      <c r="G40" s="207">
        <f t="shared" si="23"/>
        <v>6500000</v>
      </c>
      <c r="H40" s="208">
        <f t="shared" si="23"/>
        <v>111490435.48681682</v>
      </c>
      <c r="I40" s="20"/>
      <c r="J40" s="310">
        <f>SUM(J7:J39)</f>
        <v>28011609.917019121</v>
      </c>
      <c r="K40" s="15"/>
      <c r="L40" s="194">
        <f>SUM(L7:L39)</f>
        <v>58926206.357801661</v>
      </c>
      <c r="N40" s="20">
        <f>SUM(N7:N39)</f>
        <v>10590000</v>
      </c>
      <c r="O40" s="27"/>
      <c r="P40" s="27"/>
      <c r="Q40" s="20"/>
      <c r="R40" s="199">
        <f>SUM(R7:R39)</f>
        <v>7814791.9681576695</v>
      </c>
      <c r="S40" s="15"/>
      <c r="T40" s="196">
        <f>SUM(T7:T39)</f>
        <v>9272052.4320277236</v>
      </c>
      <c r="U40" s="204">
        <f>SUM(U7:U39)</f>
        <v>20196817.948861446</v>
      </c>
      <c r="V40" s="205">
        <f>SUM(V7:V39)</f>
        <v>49654153.925773934</v>
      </c>
      <c r="X40" s="425"/>
      <c r="Y40" s="425"/>
    </row>
    <row r="41" spans="1:26" x14ac:dyDescent="0.3">
      <c r="P41"/>
      <c r="Q41"/>
      <c r="S41"/>
      <c r="U41" s="17"/>
      <c r="V41" s="19"/>
      <c r="W41" s="19"/>
    </row>
    <row r="42" spans="1:26" x14ac:dyDescent="0.3">
      <c r="A42" s="17"/>
      <c r="C42" s="311"/>
      <c r="H42" s="2"/>
      <c r="N42" s="17" t="s">
        <v>2</v>
      </c>
      <c r="P42"/>
      <c r="Q42"/>
    </row>
    <row r="43" spans="1:26" ht="15" customHeight="1" x14ac:dyDescent="0.3">
      <c r="A43" s="17"/>
      <c r="C43" s="311"/>
      <c r="G43" s="311"/>
      <c r="J43" s="311"/>
      <c r="N43" s="17" t="s">
        <v>284</v>
      </c>
      <c r="R43" s="30"/>
      <c r="S43" s="30"/>
      <c r="T43" s="30"/>
      <c r="U43" s="3"/>
    </row>
    <row r="44" spans="1:26" x14ac:dyDescent="0.3">
      <c r="A44" s="18"/>
      <c r="B44" s="18"/>
      <c r="C44" s="313"/>
      <c r="D44" s="18"/>
      <c r="E44" s="18"/>
      <c r="F44" s="18"/>
      <c r="G44" s="312"/>
      <c r="H44" s="18"/>
      <c r="I44" s="2"/>
      <c r="N44" s="479" t="s">
        <v>251</v>
      </c>
      <c r="O44" s="479"/>
      <c r="P44" s="479"/>
      <c r="Q44" s="479"/>
      <c r="R44" s="22"/>
      <c r="S44" s="22"/>
      <c r="T44" s="22"/>
      <c r="U44" s="22"/>
    </row>
    <row r="45" spans="1:26" x14ac:dyDescent="0.3">
      <c r="A45" s="18"/>
      <c r="B45" s="18"/>
      <c r="C45" s="313"/>
      <c r="D45" s="312"/>
      <c r="E45" s="18"/>
      <c r="F45" s="18"/>
      <c r="G45" s="18"/>
      <c r="H45" s="18"/>
      <c r="N45" s="479"/>
      <c r="O45" s="479"/>
      <c r="P45" s="479"/>
      <c r="Q45" s="479"/>
      <c r="R45" s="22"/>
      <c r="S45" s="22"/>
      <c r="T45" s="22"/>
      <c r="U45" s="22"/>
    </row>
    <row r="46" spans="1:26" ht="15" customHeight="1" x14ac:dyDescent="0.3">
      <c r="A46" s="17"/>
      <c r="C46" s="311"/>
      <c r="D46" s="311"/>
      <c r="E46" s="29"/>
      <c r="F46" s="29"/>
      <c r="G46" s="29"/>
      <c r="N46" s="17"/>
      <c r="O46" s="17"/>
    </row>
    <row r="47" spans="1:26" ht="15" thickBot="1" x14ac:dyDescent="0.35">
      <c r="A47" s="17"/>
      <c r="O47" s="17"/>
      <c r="R47" s="14"/>
      <c r="S47"/>
      <c r="T47" s="14"/>
      <c r="U47"/>
    </row>
    <row r="48" spans="1:26" ht="15" thickBot="1" x14ac:dyDescent="0.35">
      <c r="A48" s="17"/>
      <c r="N48" s="467" t="s">
        <v>25</v>
      </c>
      <c r="O48" s="468"/>
      <c r="P48" s="469"/>
      <c r="R48" s="240"/>
      <c r="S48" s="240"/>
      <c r="T48" s="240"/>
      <c r="U48" s="240"/>
    </row>
    <row r="49" spans="1:23" x14ac:dyDescent="0.3">
      <c r="A49" s="17"/>
      <c r="N49" s="475" t="s">
        <v>23</v>
      </c>
      <c r="O49" s="476"/>
      <c r="P49" s="339">
        <f>H40/N40</f>
        <v>10.527897590823118</v>
      </c>
      <c r="R49" s="240"/>
      <c r="S49" s="240"/>
      <c r="T49" s="240"/>
      <c r="U49" s="240"/>
    </row>
    <row r="50" spans="1:23" ht="15" thickBot="1" x14ac:dyDescent="0.35">
      <c r="A50" s="17"/>
      <c r="N50" s="477" t="s">
        <v>24</v>
      </c>
      <c r="O50" s="478"/>
      <c r="P50" s="340">
        <f>J40/R40</f>
        <v>3.5844344969329791</v>
      </c>
      <c r="R50" s="14"/>
      <c r="S50"/>
      <c r="T50" s="14"/>
      <c r="U50"/>
    </row>
    <row r="51" spans="1:23" x14ac:dyDescent="0.3">
      <c r="O51" s="465"/>
      <c r="P51" s="466"/>
      <c r="R51" s="14"/>
      <c r="S51"/>
      <c r="T51" s="14"/>
      <c r="U51"/>
    </row>
    <row r="54" spans="1:23" x14ac:dyDescent="0.3">
      <c r="Q54"/>
      <c r="T54" s="14"/>
      <c r="W54" s="14"/>
    </row>
    <row r="55" spans="1:23" x14ac:dyDescent="0.3">
      <c r="T55" s="14"/>
      <c r="W55" s="14"/>
    </row>
    <row r="56" spans="1:23" x14ac:dyDescent="0.3">
      <c r="T56" s="14"/>
      <c r="W56" s="14"/>
    </row>
    <row r="57" spans="1:23" x14ac:dyDescent="0.3">
      <c r="T57" s="14"/>
      <c r="W57" s="14"/>
    </row>
    <row r="58" spans="1:23" x14ac:dyDescent="0.3">
      <c r="T58" s="14"/>
      <c r="W58" s="14"/>
    </row>
    <row r="59" spans="1:23" x14ac:dyDescent="0.3">
      <c r="T59" s="14"/>
      <c r="W59" s="14"/>
    </row>
    <row r="60" spans="1:23" x14ac:dyDescent="0.3">
      <c r="T60" s="14"/>
      <c r="W60" s="14"/>
    </row>
    <row r="61" spans="1:23" x14ac:dyDescent="0.3">
      <c r="W61" s="14"/>
    </row>
    <row r="62" spans="1:23" x14ac:dyDescent="0.3">
      <c r="N62" s="1"/>
      <c r="O62" s="1"/>
      <c r="T62" s="14"/>
      <c r="W62" s="14"/>
    </row>
    <row r="63" spans="1:23" x14ac:dyDescent="0.3">
      <c r="T63" s="14"/>
      <c r="W63" s="14"/>
    </row>
    <row r="64" spans="1:23" x14ac:dyDescent="0.3">
      <c r="W64" s="14"/>
    </row>
    <row r="65" spans="20:23" x14ac:dyDescent="0.3">
      <c r="T65" s="14"/>
      <c r="W65" s="14"/>
    </row>
    <row r="66" spans="20:23" x14ac:dyDescent="0.3">
      <c r="T66" s="14"/>
      <c r="W66" s="14"/>
    </row>
    <row r="67" spans="20:23" x14ac:dyDescent="0.3">
      <c r="T67" s="14"/>
      <c r="W67" s="14"/>
    </row>
    <row r="68" spans="20:23" x14ac:dyDescent="0.3">
      <c r="W68" s="14"/>
    </row>
    <row r="69" spans="20:23" x14ac:dyDescent="0.3">
      <c r="T69" s="14"/>
      <c r="W69" s="14"/>
    </row>
    <row r="70" spans="20:23" x14ac:dyDescent="0.3">
      <c r="T70" s="14"/>
      <c r="W70" s="14"/>
    </row>
    <row r="71" spans="20:23" x14ac:dyDescent="0.3">
      <c r="T71" s="14"/>
      <c r="W71" s="14"/>
    </row>
    <row r="72" spans="20:23" x14ac:dyDescent="0.3">
      <c r="T72" s="14"/>
      <c r="W72" s="14"/>
    </row>
    <row r="73" spans="20:23" x14ac:dyDescent="0.3">
      <c r="T73" s="14"/>
      <c r="W73" s="14"/>
    </row>
    <row r="74" spans="20:23" x14ac:dyDescent="0.3">
      <c r="T74" s="14"/>
      <c r="W74" s="14"/>
    </row>
    <row r="75" spans="20:23" x14ac:dyDescent="0.3">
      <c r="T75" s="14"/>
      <c r="W75" s="14"/>
    </row>
    <row r="76" spans="20:23" x14ac:dyDescent="0.3">
      <c r="W76" s="14"/>
    </row>
    <row r="77" spans="20:23" x14ac:dyDescent="0.3">
      <c r="V77" s="30"/>
      <c r="W77" s="14"/>
    </row>
    <row r="79" spans="20:23" x14ac:dyDescent="0.3">
      <c r="T79" s="30"/>
      <c r="U79" s="170"/>
    </row>
    <row r="91" ht="15.75" customHeight="1" x14ac:dyDescent="0.3"/>
    <row r="92" ht="15" customHeight="1" x14ac:dyDescent="0.3"/>
    <row r="93" ht="15" customHeight="1" x14ac:dyDescent="0.3"/>
  </sheetData>
  <mergeCells count="10">
    <mergeCell ref="A1:V1"/>
    <mergeCell ref="A2:V2"/>
    <mergeCell ref="A3:V3"/>
    <mergeCell ref="O51:P51"/>
    <mergeCell ref="N48:P48"/>
    <mergeCell ref="A5:L5"/>
    <mergeCell ref="N5:V5"/>
    <mergeCell ref="N49:O49"/>
    <mergeCell ref="N50:O50"/>
    <mergeCell ref="N44:Q45"/>
  </mergeCells>
  <pageMargins left="0.6" right="0.7" top="0.28999999999999998" bottom="0.19" header="0.3" footer="0.3"/>
  <pageSetup paperSize="3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5764-51EB-4219-9354-E11B56D4D815}">
  <sheetPr>
    <tabColor rgb="FFFFFF00"/>
    <pageSetUpPr fitToPage="1"/>
  </sheetPr>
  <dimension ref="A1:AE75"/>
  <sheetViews>
    <sheetView view="pageBreakPreview" zoomScale="71" zoomScaleNormal="100" zoomScaleSheetLayoutView="71" workbookViewId="0">
      <selection activeCell="A2" sqref="A2:P2"/>
    </sheetView>
  </sheetViews>
  <sheetFormatPr defaultRowHeight="14.4" x14ac:dyDescent="0.3"/>
  <cols>
    <col min="1" max="3" width="15.6640625" customWidth="1"/>
    <col min="4" max="9" width="15.6640625" hidden="1" customWidth="1"/>
    <col min="10" max="26" width="15.6640625" customWidth="1"/>
  </cols>
  <sheetData>
    <row r="1" spans="1:31" s="209" customFormat="1" ht="5.4" customHeight="1" x14ac:dyDescent="0.25">
      <c r="A1" s="232"/>
      <c r="B1" s="230"/>
      <c r="C1" s="230"/>
      <c r="D1" s="230"/>
      <c r="E1" s="232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10"/>
    </row>
    <row r="2" spans="1:31" s="209" customFormat="1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226" t="s">
        <v>118</v>
      </c>
      <c r="N2" s="546" t="s">
        <v>249</v>
      </c>
      <c r="O2" s="546"/>
      <c r="P2" s="546"/>
      <c r="Q2" s="344"/>
      <c r="R2" s="210"/>
    </row>
    <row r="3" spans="1:31" s="209" customFormat="1" ht="14.25" customHeight="1" x14ac:dyDescent="0.3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226" t="s">
        <v>116</v>
      </c>
      <c r="N3" s="341">
        <f ca="1">_xlfn.SHEET()-1</f>
        <v>9</v>
      </c>
      <c r="O3" s="345" t="s">
        <v>115</v>
      </c>
      <c r="P3" s="341">
        <f ca="1">_xlfn.SHEETS()-2</f>
        <v>10</v>
      </c>
      <c r="Q3" s="344"/>
      <c r="R3" s="210"/>
    </row>
    <row r="4" spans="1:31" s="209" customFormat="1" ht="14.25" customHeight="1" x14ac:dyDescent="0.3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226" t="s">
        <v>113</v>
      </c>
      <c r="N4" s="341"/>
      <c r="O4" s="346" t="s">
        <v>111</v>
      </c>
      <c r="P4" s="343"/>
      <c r="Q4" s="344"/>
      <c r="R4" s="210"/>
    </row>
    <row r="5" spans="1:31" s="209" customFormat="1" ht="14.25" customHeight="1" x14ac:dyDescent="0.3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226" t="s">
        <v>112</v>
      </c>
      <c r="N5" s="341"/>
      <c r="O5" s="346" t="s">
        <v>111</v>
      </c>
      <c r="P5" s="342"/>
      <c r="Q5" s="344"/>
      <c r="R5" s="210"/>
    </row>
    <row r="6" spans="1:31" s="209" customFormat="1" ht="14.25" customHeight="1" x14ac:dyDescent="0.3">
      <c r="A6" s="210"/>
      <c r="C6" s="227"/>
      <c r="E6" s="225"/>
      <c r="F6" s="225"/>
      <c r="G6" s="344"/>
      <c r="H6" s="344"/>
      <c r="I6" s="344"/>
      <c r="J6" s="344"/>
      <c r="K6" s="344"/>
      <c r="L6" s="344"/>
      <c r="M6" s="226" t="s">
        <v>110</v>
      </c>
      <c r="N6" s="341"/>
      <c r="O6" s="346" t="s">
        <v>109</v>
      </c>
      <c r="P6" s="341" t="s">
        <v>158</v>
      </c>
      <c r="Q6" s="344"/>
      <c r="R6" s="210"/>
    </row>
    <row r="7" spans="1:31" s="209" customFormat="1" ht="4.5" customHeigh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P7" s="223"/>
      <c r="Q7" s="344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10"/>
    </row>
    <row r="8" spans="1:31" ht="16.2" thickBot="1" x14ac:dyDescent="0.35">
      <c r="A8" s="7" t="s">
        <v>108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31" ht="30" customHeight="1" thickBot="1" x14ac:dyDescent="0.45">
      <c r="A9" s="575" t="s">
        <v>0</v>
      </c>
      <c r="B9" s="575" t="s">
        <v>1</v>
      </c>
      <c r="C9" s="543" t="str">
        <f>'Crash Costs'!A30</f>
        <v>Widen Shoulder 0' to 2'</v>
      </c>
      <c r="D9" s="575" t="s">
        <v>85</v>
      </c>
      <c r="E9" s="575" t="s">
        <v>86</v>
      </c>
      <c r="F9" s="575" t="s">
        <v>87</v>
      </c>
      <c r="G9" s="575" t="s">
        <v>138</v>
      </c>
      <c r="H9" s="575" t="s">
        <v>139</v>
      </c>
      <c r="I9" s="575"/>
      <c r="J9" s="575"/>
      <c r="K9" s="575" t="s">
        <v>84</v>
      </c>
      <c r="L9" s="8"/>
    </row>
    <row r="10" spans="1:31" ht="45" customHeight="1" thickBot="1" x14ac:dyDescent="0.35">
      <c r="A10" s="575"/>
      <c r="B10" s="575"/>
      <c r="C10" s="545"/>
      <c r="D10" s="575"/>
      <c r="E10" s="575"/>
      <c r="F10" s="575"/>
      <c r="G10" s="575"/>
      <c r="H10" s="575"/>
      <c r="I10" s="575"/>
      <c r="J10" s="575"/>
      <c r="K10" s="575"/>
      <c r="L10" s="1"/>
    </row>
    <row r="11" spans="1:31" ht="15" customHeight="1" x14ac:dyDescent="0.4">
      <c r="A11" s="23">
        <v>2022</v>
      </c>
      <c r="B11" s="66"/>
      <c r="C11" s="354">
        <f>'Crash Costs'!S14</f>
        <v>0</v>
      </c>
      <c r="D11" s="31"/>
      <c r="E11" s="31"/>
      <c r="F11" s="31"/>
      <c r="G11" s="31"/>
      <c r="H11" s="31"/>
      <c r="I11" s="73"/>
      <c r="J11" s="31"/>
      <c r="K11" s="180">
        <f>SUM(C10:C10)</f>
        <v>0</v>
      </c>
      <c r="N11" s="8"/>
      <c r="O11" s="8"/>
    </row>
    <row r="12" spans="1:31" ht="15" customHeight="1" x14ac:dyDescent="0.3">
      <c r="A12" s="4">
        <f>A11+1</f>
        <v>2023</v>
      </c>
      <c r="B12" s="28">
        <v>1</v>
      </c>
      <c r="C12" s="354">
        <f>'Crash Costs'!S15</f>
        <v>0</v>
      </c>
      <c r="D12" s="16"/>
      <c r="E12" s="16"/>
      <c r="F12" s="16"/>
      <c r="G12" s="16"/>
      <c r="H12" s="16"/>
      <c r="I12" s="74"/>
      <c r="J12" s="16"/>
      <c r="K12" s="180">
        <f>SUM(C11:C11)</f>
        <v>0</v>
      </c>
      <c r="M12" s="110"/>
      <c r="N12" s="109"/>
      <c r="O12" s="108"/>
    </row>
    <row r="13" spans="1:31" ht="15" customHeight="1" x14ac:dyDescent="0.3">
      <c r="A13" s="4">
        <f t="shared" ref="A13:A49" si="0">A12+1</f>
        <v>2024</v>
      </c>
      <c r="B13" s="72">
        <f>B12+1</f>
        <v>2</v>
      </c>
      <c r="C13" s="354">
        <f>'Crash Costs'!S16</f>
        <v>0</v>
      </c>
      <c r="D13" s="182"/>
      <c r="E13" s="182"/>
      <c r="F13" s="182"/>
      <c r="G13" s="182"/>
      <c r="H13" s="182"/>
      <c r="I13" s="75"/>
      <c r="J13" s="182"/>
      <c r="K13" s="180">
        <f t="shared" ref="K13:K41" si="1">SUM(C13:C13)</f>
        <v>0</v>
      </c>
      <c r="M13" s="110"/>
    </row>
    <row r="14" spans="1:31" ht="15" customHeight="1" x14ac:dyDescent="0.3">
      <c r="A14" s="4">
        <f t="shared" si="0"/>
        <v>2025</v>
      </c>
      <c r="B14" s="72">
        <f>B13+1</f>
        <v>3</v>
      </c>
      <c r="C14" s="354">
        <f>'Crash Costs'!S17</f>
        <v>0</v>
      </c>
      <c r="D14" s="16"/>
      <c r="E14" s="16"/>
      <c r="F14" s="16"/>
      <c r="G14" s="16"/>
      <c r="H14" s="16"/>
      <c r="I14" s="74"/>
      <c r="J14" s="16"/>
      <c r="K14" s="180">
        <f t="shared" si="1"/>
        <v>0</v>
      </c>
      <c r="L14" s="2"/>
      <c r="M14" s="110"/>
    </row>
    <row r="15" spans="1:31" ht="15" customHeight="1" x14ac:dyDescent="0.3">
      <c r="A15" s="4">
        <f t="shared" si="0"/>
        <v>2026</v>
      </c>
      <c r="B15" s="72">
        <f t="shared" ref="B15:B49" si="2">B14+1</f>
        <v>4</v>
      </c>
      <c r="C15" s="354">
        <f>'Crash Costs'!S18</f>
        <v>0</v>
      </c>
      <c r="D15" s="16"/>
      <c r="E15" s="16"/>
      <c r="F15" s="16"/>
      <c r="G15" s="16"/>
      <c r="H15" s="16"/>
      <c r="I15" s="74"/>
      <c r="J15" s="16"/>
      <c r="K15" s="180">
        <f t="shared" si="1"/>
        <v>0</v>
      </c>
      <c r="L15" s="2"/>
    </row>
    <row r="16" spans="1:31" ht="15" customHeight="1" x14ac:dyDescent="0.3">
      <c r="A16" s="4">
        <f t="shared" si="0"/>
        <v>2027</v>
      </c>
      <c r="B16" s="72">
        <f t="shared" si="2"/>
        <v>5</v>
      </c>
      <c r="C16" s="354">
        <f>'Crash Costs'!S19</f>
        <v>0</v>
      </c>
      <c r="D16" s="183"/>
      <c r="E16" s="183"/>
      <c r="F16" s="183"/>
      <c r="G16" s="183"/>
      <c r="H16" s="183"/>
      <c r="I16" s="76"/>
      <c r="J16" s="183"/>
      <c r="K16" s="180">
        <f t="shared" si="1"/>
        <v>0</v>
      </c>
      <c r="L16" s="2"/>
    </row>
    <row r="17" spans="1:15" ht="15" customHeight="1" x14ac:dyDescent="0.3">
      <c r="A17" s="4">
        <f t="shared" si="0"/>
        <v>2028</v>
      </c>
      <c r="B17" s="72">
        <f t="shared" si="2"/>
        <v>6</v>
      </c>
      <c r="C17" s="354">
        <f>'Crash Costs'!S20</f>
        <v>0</v>
      </c>
      <c r="D17" s="180" t="e">
        <f>#REF!</f>
        <v>#REF!</v>
      </c>
      <c r="E17" s="180" t="e">
        <f>#REF!</f>
        <v>#REF!</v>
      </c>
      <c r="F17" s="180" t="e">
        <f>#REF!</f>
        <v>#REF!</v>
      </c>
      <c r="G17" s="180">
        <f>'Crash Costs- SW Barrier'!S17</f>
        <v>0</v>
      </c>
      <c r="H17" s="180" t="e">
        <f>#REF!</f>
        <v>#REF!</v>
      </c>
      <c r="I17" s="111"/>
      <c r="J17" s="180"/>
      <c r="K17" s="180">
        <f t="shared" si="1"/>
        <v>0</v>
      </c>
      <c r="L17" s="2"/>
      <c r="M17" s="9"/>
      <c r="N17" s="9"/>
      <c r="O17" s="9"/>
    </row>
    <row r="18" spans="1:15" ht="15" customHeight="1" x14ac:dyDescent="0.3">
      <c r="A18" s="4">
        <f t="shared" si="0"/>
        <v>2029</v>
      </c>
      <c r="B18" s="72">
        <f t="shared" si="2"/>
        <v>7</v>
      </c>
      <c r="C18" s="354">
        <f>'Crash Costs'!S21</f>
        <v>0</v>
      </c>
      <c r="D18" s="180" t="e">
        <f>#REF!</f>
        <v>#REF!</v>
      </c>
      <c r="E18" s="180" t="e">
        <f>#REF!</f>
        <v>#REF!</v>
      </c>
      <c r="F18" s="180" t="e">
        <f>#REF!</f>
        <v>#REF!</v>
      </c>
      <c r="G18" s="180">
        <f>'Crash Costs- SW Barrier'!S18</f>
        <v>0</v>
      </c>
      <c r="H18" s="180" t="e">
        <f>#REF!</f>
        <v>#REF!</v>
      </c>
      <c r="I18" s="111"/>
      <c r="J18" s="180"/>
      <c r="K18" s="180">
        <f t="shared" si="1"/>
        <v>0</v>
      </c>
      <c r="L18" s="2"/>
      <c r="M18" s="10"/>
      <c r="N18" s="10"/>
      <c r="O18" s="10"/>
    </row>
    <row r="19" spans="1:15" ht="15" customHeight="1" x14ac:dyDescent="0.3">
      <c r="A19" s="4">
        <f t="shared" si="0"/>
        <v>2030</v>
      </c>
      <c r="B19" s="72">
        <f t="shared" si="2"/>
        <v>8</v>
      </c>
      <c r="C19" s="354">
        <v>0</v>
      </c>
      <c r="D19" s="180" t="e">
        <f>#REF!</f>
        <v>#REF!</v>
      </c>
      <c r="E19" s="180" t="e">
        <f>#REF!</f>
        <v>#REF!</v>
      </c>
      <c r="F19" s="180" t="e">
        <f>#REF!</f>
        <v>#REF!</v>
      </c>
      <c r="G19" s="180">
        <f>'Crash Costs- SW Barrier'!S19</f>
        <v>0</v>
      </c>
      <c r="H19" s="180" t="e">
        <f>#REF!</f>
        <v>#REF!</v>
      </c>
      <c r="I19" s="111"/>
      <c r="J19" s="180"/>
      <c r="K19" s="180">
        <f t="shared" si="1"/>
        <v>0</v>
      </c>
      <c r="L19" s="2"/>
      <c r="M19" s="10"/>
      <c r="N19" s="10"/>
      <c r="O19" s="10"/>
    </row>
    <row r="20" spans="1:15" ht="15" customHeight="1" x14ac:dyDescent="0.3">
      <c r="A20" s="4">
        <f t="shared" si="0"/>
        <v>2031</v>
      </c>
      <c r="B20" s="72">
        <f t="shared" si="2"/>
        <v>9</v>
      </c>
      <c r="C20" s="354">
        <f>'Crash Costs'!S23</f>
        <v>0</v>
      </c>
      <c r="D20" s="180" t="e">
        <f>#REF!</f>
        <v>#REF!</v>
      </c>
      <c r="E20" s="180" t="e">
        <f>#REF!</f>
        <v>#REF!</v>
      </c>
      <c r="F20" s="180" t="e">
        <f>#REF!</f>
        <v>#REF!</v>
      </c>
      <c r="G20" s="180">
        <f>'Crash Costs- SW Barrier'!S20</f>
        <v>0</v>
      </c>
      <c r="H20" s="180" t="e">
        <f>#REF!</f>
        <v>#REF!</v>
      </c>
      <c r="I20" s="111"/>
      <c r="J20" s="180"/>
      <c r="K20" s="180">
        <f t="shared" si="1"/>
        <v>0</v>
      </c>
      <c r="L20" s="2"/>
      <c r="M20" s="10"/>
      <c r="N20" s="10"/>
      <c r="O20" s="10"/>
    </row>
    <row r="21" spans="1:15" ht="15" customHeight="1" x14ac:dyDescent="0.3">
      <c r="A21" s="4">
        <f t="shared" si="0"/>
        <v>2032</v>
      </c>
      <c r="B21" s="72">
        <f t="shared" si="2"/>
        <v>10</v>
      </c>
      <c r="C21" s="354">
        <f>'Crash Costs'!S24</f>
        <v>0</v>
      </c>
      <c r="D21" s="180" t="e">
        <f>#REF!</f>
        <v>#REF!</v>
      </c>
      <c r="E21" s="180" t="e">
        <f>#REF!</f>
        <v>#REF!</v>
      </c>
      <c r="F21" s="180" t="e">
        <f>#REF!</f>
        <v>#REF!</v>
      </c>
      <c r="G21" s="180">
        <f>'Crash Costs- SW Barrier'!S21</f>
        <v>0</v>
      </c>
      <c r="H21" s="180" t="e">
        <f>#REF!</f>
        <v>#REF!</v>
      </c>
      <c r="I21" s="111"/>
      <c r="J21" s="180"/>
      <c r="K21" s="180">
        <f t="shared" si="1"/>
        <v>0</v>
      </c>
      <c r="L21" s="2"/>
    </row>
    <row r="22" spans="1:15" ht="15" customHeight="1" x14ac:dyDescent="0.3">
      <c r="A22" s="4">
        <f t="shared" si="0"/>
        <v>2033</v>
      </c>
      <c r="B22" s="72">
        <f t="shared" si="2"/>
        <v>11</v>
      </c>
      <c r="C22" s="354">
        <f>'Crash Costs'!S25</f>
        <v>0</v>
      </c>
      <c r="D22" s="180" t="e">
        <f>#REF!</f>
        <v>#REF!</v>
      </c>
      <c r="E22" s="180" t="e">
        <f>#REF!</f>
        <v>#REF!</v>
      </c>
      <c r="F22" s="180" t="e">
        <f>#REF!</f>
        <v>#REF!</v>
      </c>
      <c r="G22" s="180">
        <f>'Crash Costs- SW Barrier'!S22</f>
        <v>0</v>
      </c>
      <c r="H22" s="180" t="e">
        <f>#REF!</f>
        <v>#REF!</v>
      </c>
      <c r="I22" s="111"/>
      <c r="J22" s="180"/>
      <c r="K22" s="180">
        <f t="shared" si="1"/>
        <v>0</v>
      </c>
      <c r="L22" s="2"/>
    </row>
    <row r="23" spans="1:15" ht="15" customHeight="1" x14ac:dyDescent="0.3">
      <c r="A23" s="4">
        <f t="shared" si="0"/>
        <v>2034</v>
      </c>
      <c r="B23" s="72">
        <f t="shared" si="2"/>
        <v>12</v>
      </c>
      <c r="C23" s="354">
        <f>'Crash Costs'!S26</f>
        <v>0</v>
      </c>
      <c r="D23" s="180" t="e">
        <f>#REF!</f>
        <v>#REF!</v>
      </c>
      <c r="E23" s="180" t="e">
        <f>#REF!</f>
        <v>#REF!</v>
      </c>
      <c r="F23" s="180" t="e">
        <f>#REF!</f>
        <v>#REF!</v>
      </c>
      <c r="G23" s="180">
        <f>'Crash Costs- SW Barrier'!S23</f>
        <v>0</v>
      </c>
      <c r="H23" s="180" t="e">
        <f>#REF!</f>
        <v>#REF!</v>
      </c>
      <c r="I23" s="111"/>
      <c r="J23" s="180"/>
      <c r="K23" s="180">
        <f t="shared" si="1"/>
        <v>0</v>
      </c>
      <c r="L23" s="2"/>
    </row>
    <row r="24" spans="1:15" ht="15" customHeight="1" x14ac:dyDescent="0.3">
      <c r="A24" s="4">
        <f t="shared" si="0"/>
        <v>2035</v>
      </c>
      <c r="B24" s="72">
        <f t="shared" si="2"/>
        <v>13</v>
      </c>
      <c r="C24" s="354">
        <f>'Crash Costs'!S27</f>
        <v>0</v>
      </c>
      <c r="D24" s="180" t="e">
        <f>#REF!</f>
        <v>#REF!</v>
      </c>
      <c r="E24" s="180" t="e">
        <f>#REF!</f>
        <v>#REF!</v>
      </c>
      <c r="F24" s="180" t="e">
        <f>#REF!</f>
        <v>#REF!</v>
      </c>
      <c r="G24" s="180">
        <f>'Crash Costs- SW Barrier'!S24</f>
        <v>0</v>
      </c>
      <c r="H24" s="180" t="e">
        <f>#REF!</f>
        <v>#REF!</v>
      </c>
      <c r="I24" s="111"/>
      <c r="J24" s="180"/>
      <c r="K24" s="180">
        <f t="shared" si="1"/>
        <v>0</v>
      </c>
      <c r="L24" s="2"/>
    </row>
    <row r="25" spans="1:15" ht="15" customHeight="1" x14ac:dyDescent="0.3">
      <c r="A25" s="4">
        <f t="shared" si="0"/>
        <v>2036</v>
      </c>
      <c r="B25" s="72">
        <f t="shared" si="2"/>
        <v>14</v>
      </c>
      <c r="C25" s="354">
        <f>'Crash Costs'!S28</f>
        <v>0</v>
      </c>
      <c r="D25" s="180" t="e">
        <f>#REF!</f>
        <v>#REF!</v>
      </c>
      <c r="E25" s="180" t="e">
        <f>#REF!</f>
        <v>#REF!</v>
      </c>
      <c r="F25" s="180" t="e">
        <f>#REF!</f>
        <v>#REF!</v>
      </c>
      <c r="G25" s="180">
        <f>'Crash Costs- SW Barrier'!S25</f>
        <v>0</v>
      </c>
      <c r="H25" s="180" t="e">
        <f>#REF!</f>
        <v>#REF!</v>
      </c>
      <c r="I25" s="111"/>
      <c r="J25" s="180"/>
      <c r="K25" s="180">
        <f t="shared" si="1"/>
        <v>0</v>
      </c>
      <c r="L25" s="2"/>
    </row>
    <row r="26" spans="1:15" ht="15" customHeight="1" x14ac:dyDescent="0.3">
      <c r="A26" s="4">
        <f t="shared" si="0"/>
        <v>2037</v>
      </c>
      <c r="B26" s="72">
        <f t="shared" si="2"/>
        <v>15</v>
      </c>
      <c r="C26" s="354">
        <f>'Crash Costs'!S29</f>
        <v>0</v>
      </c>
      <c r="D26" s="180" t="e">
        <f>#REF!</f>
        <v>#REF!</v>
      </c>
      <c r="E26" s="180" t="e">
        <f>#REF!</f>
        <v>#REF!</v>
      </c>
      <c r="F26" s="180" t="e">
        <f>#REF!</f>
        <v>#REF!</v>
      </c>
      <c r="G26" s="180">
        <f>'Crash Costs- SW Barrier'!S26</f>
        <v>0</v>
      </c>
      <c r="H26" s="180" t="e">
        <f>#REF!</f>
        <v>#REF!</v>
      </c>
      <c r="I26" s="111"/>
      <c r="J26" s="180"/>
      <c r="K26" s="180">
        <f t="shared" si="1"/>
        <v>0</v>
      </c>
      <c r="L26" s="2"/>
      <c r="M26" s="22"/>
      <c r="N26" s="18"/>
      <c r="O26" s="18"/>
    </row>
    <row r="27" spans="1:15" ht="15" customHeight="1" x14ac:dyDescent="0.3">
      <c r="A27" s="4">
        <f t="shared" si="0"/>
        <v>2038</v>
      </c>
      <c r="B27" s="72">
        <f t="shared" si="2"/>
        <v>16</v>
      </c>
      <c r="C27" s="354">
        <f>'Crash Costs'!S30</f>
        <v>0</v>
      </c>
      <c r="D27" s="180" t="e">
        <f>#REF!</f>
        <v>#REF!</v>
      </c>
      <c r="E27" s="180" t="e">
        <f>#REF!</f>
        <v>#REF!</v>
      </c>
      <c r="F27" s="180" t="e">
        <f>#REF!</f>
        <v>#REF!</v>
      </c>
      <c r="G27" s="180">
        <f>'Crash Costs- SW Barrier'!S27</f>
        <v>0</v>
      </c>
      <c r="H27" s="180" t="e">
        <f>#REF!</f>
        <v>#REF!</v>
      </c>
      <c r="I27" s="111"/>
      <c r="J27" s="180"/>
      <c r="K27" s="180">
        <f t="shared" si="1"/>
        <v>0</v>
      </c>
      <c r="L27" s="2"/>
      <c r="M27" s="22"/>
      <c r="N27" s="18"/>
      <c r="O27" s="18"/>
    </row>
    <row r="28" spans="1:15" ht="15" customHeight="1" x14ac:dyDescent="0.3">
      <c r="A28" s="4">
        <f t="shared" si="0"/>
        <v>2039</v>
      </c>
      <c r="B28" s="72">
        <f t="shared" si="2"/>
        <v>17</v>
      </c>
      <c r="C28" s="354">
        <f>'Crash Costs'!S31</f>
        <v>0</v>
      </c>
      <c r="D28" s="180" t="e">
        <f>#REF!</f>
        <v>#REF!</v>
      </c>
      <c r="E28" s="180" t="e">
        <f>#REF!</f>
        <v>#REF!</v>
      </c>
      <c r="F28" s="180" t="e">
        <f>#REF!</f>
        <v>#REF!</v>
      </c>
      <c r="G28" s="180">
        <f>'Crash Costs- SW Barrier'!S28</f>
        <v>0</v>
      </c>
      <c r="H28" s="180" t="e">
        <f>#REF!</f>
        <v>#REF!</v>
      </c>
      <c r="I28" s="111"/>
      <c r="J28" s="180"/>
      <c r="K28" s="180">
        <f>SUM(C28:C28)</f>
        <v>0</v>
      </c>
      <c r="L28" s="2"/>
      <c r="M28" s="24"/>
    </row>
    <row r="29" spans="1:15" ht="15" customHeight="1" x14ac:dyDescent="0.3">
      <c r="A29" s="4">
        <f t="shared" si="0"/>
        <v>2040</v>
      </c>
      <c r="B29" s="72">
        <f t="shared" si="2"/>
        <v>18</v>
      </c>
      <c r="C29" s="354">
        <f>'Crash Costs'!S32</f>
        <v>0</v>
      </c>
      <c r="D29" s="180" t="e">
        <f>#REF!</f>
        <v>#REF!</v>
      </c>
      <c r="E29" s="180" t="e">
        <f>#REF!</f>
        <v>#REF!</v>
      </c>
      <c r="F29" s="180" t="e">
        <f>#REF!</f>
        <v>#REF!</v>
      </c>
      <c r="G29" s="180">
        <f>'Crash Costs- SW Barrier'!S29</f>
        <v>0</v>
      </c>
      <c r="H29" s="180" t="e">
        <f>#REF!</f>
        <v>#REF!</v>
      </c>
      <c r="I29" s="111"/>
      <c r="J29" s="180"/>
      <c r="K29" s="180">
        <f t="shared" si="1"/>
        <v>0</v>
      </c>
      <c r="L29" s="2"/>
      <c r="M29" s="24"/>
    </row>
    <row r="30" spans="1:15" ht="15" customHeight="1" x14ac:dyDescent="0.3">
      <c r="A30" s="4">
        <f t="shared" si="0"/>
        <v>2041</v>
      </c>
      <c r="B30" s="72">
        <f t="shared" si="2"/>
        <v>19</v>
      </c>
      <c r="C30" s="354">
        <f>'Crash Costs'!S33</f>
        <v>0</v>
      </c>
      <c r="D30" s="180" t="e">
        <f>#REF!</f>
        <v>#REF!</v>
      </c>
      <c r="E30" s="180" t="e">
        <f>#REF!</f>
        <v>#REF!</v>
      </c>
      <c r="F30" s="180" t="e">
        <f>#REF!</f>
        <v>#REF!</v>
      </c>
      <c r="G30" s="180">
        <f>'Crash Costs- SW Barrier'!S30</f>
        <v>0</v>
      </c>
      <c r="H30" s="180" t="e">
        <f>#REF!</f>
        <v>#REF!</v>
      </c>
      <c r="I30" s="111"/>
      <c r="J30" s="180"/>
      <c r="K30" s="180">
        <f t="shared" si="1"/>
        <v>0</v>
      </c>
      <c r="L30" s="2"/>
      <c r="M30" s="24"/>
    </row>
    <row r="31" spans="1:15" ht="15" customHeight="1" x14ac:dyDescent="0.3">
      <c r="A31" s="4">
        <f t="shared" si="0"/>
        <v>2042</v>
      </c>
      <c r="B31" s="72">
        <f t="shared" si="2"/>
        <v>20</v>
      </c>
      <c r="C31" s="354">
        <f>'Crash Costs'!S34</f>
        <v>0</v>
      </c>
      <c r="D31" s="180" t="e">
        <f>#REF!</f>
        <v>#REF!</v>
      </c>
      <c r="E31" s="180" t="e">
        <f>#REF!</f>
        <v>#REF!</v>
      </c>
      <c r="F31" s="180" t="e">
        <f>#REF!</f>
        <v>#REF!</v>
      </c>
      <c r="G31" s="180">
        <f>'Crash Costs- SW Barrier'!S31</f>
        <v>0</v>
      </c>
      <c r="H31" s="180" t="e">
        <f>#REF!</f>
        <v>#REF!</v>
      </c>
      <c r="I31" s="111"/>
      <c r="J31" s="180"/>
      <c r="K31" s="180">
        <f t="shared" si="1"/>
        <v>0</v>
      </c>
      <c r="L31" s="2"/>
    </row>
    <row r="32" spans="1:15" ht="15" customHeight="1" x14ac:dyDescent="0.3">
      <c r="A32" s="4">
        <f t="shared" si="0"/>
        <v>2043</v>
      </c>
      <c r="B32" s="72">
        <f t="shared" si="2"/>
        <v>21</v>
      </c>
      <c r="C32" s="354">
        <f>'Crash Costs'!S35</f>
        <v>0</v>
      </c>
      <c r="D32" s="180" t="e">
        <f>#REF!</f>
        <v>#REF!</v>
      </c>
      <c r="E32" s="180" t="e">
        <f>#REF!</f>
        <v>#REF!</v>
      </c>
      <c r="F32" s="180" t="e">
        <f>#REF!</f>
        <v>#REF!</v>
      </c>
      <c r="G32" s="180">
        <f>'Crash Costs- SW Barrier'!S32</f>
        <v>0</v>
      </c>
      <c r="H32" s="180" t="e">
        <f>#REF!</f>
        <v>#REF!</v>
      </c>
      <c r="I32" s="111"/>
      <c r="J32" s="180"/>
      <c r="K32" s="180">
        <f t="shared" si="1"/>
        <v>0</v>
      </c>
      <c r="L32" s="2"/>
    </row>
    <row r="33" spans="1:12" ht="15" customHeight="1" x14ac:dyDescent="0.3">
      <c r="A33" s="4">
        <f t="shared" si="0"/>
        <v>2044</v>
      </c>
      <c r="B33" s="72">
        <f t="shared" si="2"/>
        <v>22</v>
      </c>
      <c r="C33" s="354">
        <f>'Crash Costs'!S36</f>
        <v>0</v>
      </c>
      <c r="D33" s="180" t="e">
        <f>#REF!</f>
        <v>#REF!</v>
      </c>
      <c r="E33" s="180" t="e">
        <f>#REF!</f>
        <v>#REF!</v>
      </c>
      <c r="F33" s="180" t="e">
        <f>#REF!</f>
        <v>#REF!</v>
      </c>
      <c r="G33" s="180">
        <f>'Crash Costs- SW Barrier'!S33</f>
        <v>0</v>
      </c>
      <c r="H33" s="180" t="e">
        <f>#REF!</f>
        <v>#REF!</v>
      </c>
      <c r="I33" s="111"/>
      <c r="J33" s="180"/>
      <c r="K33" s="180">
        <f t="shared" si="1"/>
        <v>0</v>
      </c>
      <c r="L33" s="2"/>
    </row>
    <row r="34" spans="1:12" ht="15" customHeight="1" x14ac:dyDescent="0.3">
      <c r="A34" s="4">
        <f t="shared" si="0"/>
        <v>2045</v>
      </c>
      <c r="B34" s="72">
        <f t="shared" si="2"/>
        <v>23</v>
      </c>
      <c r="C34" s="354">
        <f>'Crash Costs'!S37</f>
        <v>0</v>
      </c>
      <c r="D34" s="180" t="e">
        <f>#REF!</f>
        <v>#REF!</v>
      </c>
      <c r="E34" s="180" t="e">
        <f>#REF!</f>
        <v>#REF!</v>
      </c>
      <c r="F34" s="180" t="e">
        <f>#REF!</f>
        <v>#REF!</v>
      </c>
      <c r="G34" s="180">
        <f>'Crash Costs- SW Barrier'!S34</f>
        <v>0</v>
      </c>
      <c r="H34" s="180" t="e">
        <f>#REF!</f>
        <v>#REF!</v>
      </c>
      <c r="I34" s="111"/>
      <c r="J34" s="180"/>
      <c r="K34" s="180">
        <f t="shared" si="1"/>
        <v>0</v>
      </c>
      <c r="L34" s="2"/>
    </row>
    <row r="35" spans="1:12" ht="15" customHeight="1" x14ac:dyDescent="0.3">
      <c r="A35" s="4">
        <f t="shared" si="0"/>
        <v>2046</v>
      </c>
      <c r="B35" s="72">
        <f t="shared" si="2"/>
        <v>24</v>
      </c>
      <c r="C35" s="354">
        <f>'Crash Costs'!S38</f>
        <v>0</v>
      </c>
      <c r="D35" s="180" t="e">
        <f>#REF!</f>
        <v>#REF!</v>
      </c>
      <c r="E35" s="180" t="e">
        <f>#REF!</f>
        <v>#REF!</v>
      </c>
      <c r="F35" s="180" t="e">
        <f>#REF!</f>
        <v>#REF!</v>
      </c>
      <c r="G35" s="180">
        <f>'Crash Costs- SW Barrier'!S35</f>
        <v>0</v>
      </c>
      <c r="H35" s="180" t="e">
        <f>#REF!</f>
        <v>#REF!</v>
      </c>
      <c r="I35" s="111"/>
      <c r="J35" s="180"/>
      <c r="K35" s="180">
        <f t="shared" si="1"/>
        <v>0</v>
      </c>
      <c r="L35" s="2"/>
    </row>
    <row r="36" spans="1:12" ht="15" customHeight="1" x14ac:dyDescent="0.3">
      <c r="A36" s="4">
        <f t="shared" si="0"/>
        <v>2047</v>
      </c>
      <c r="B36" s="72">
        <f t="shared" si="2"/>
        <v>25</v>
      </c>
      <c r="C36" s="354">
        <f>'Crash Costs'!S39</f>
        <v>0</v>
      </c>
      <c r="D36" s="180" t="e">
        <f>#REF!</f>
        <v>#REF!</v>
      </c>
      <c r="E36" s="180" t="e">
        <f>#REF!</f>
        <v>#REF!</v>
      </c>
      <c r="F36" s="180" t="e">
        <f>#REF!</f>
        <v>#REF!</v>
      </c>
      <c r="G36" s="180">
        <f>'Crash Costs- SW Barrier'!S36</f>
        <v>0</v>
      </c>
      <c r="H36" s="180" t="e">
        <f>#REF!</f>
        <v>#REF!</v>
      </c>
      <c r="I36" s="111"/>
      <c r="J36" s="180"/>
      <c r="K36" s="180">
        <f t="shared" si="1"/>
        <v>0</v>
      </c>
      <c r="L36" s="2"/>
    </row>
    <row r="37" spans="1:12" ht="15" customHeight="1" x14ac:dyDescent="0.3">
      <c r="A37" s="4">
        <f t="shared" si="0"/>
        <v>2048</v>
      </c>
      <c r="B37" s="72">
        <f t="shared" si="2"/>
        <v>26</v>
      </c>
      <c r="C37" s="354">
        <f>'Crash Costs'!S40</f>
        <v>0</v>
      </c>
      <c r="D37" s="180" t="e">
        <f>#REF!</f>
        <v>#REF!</v>
      </c>
      <c r="E37" s="180" t="e">
        <f>#REF!</f>
        <v>#REF!</v>
      </c>
      <c r="F37" s="180" t="e">
        <f>#REF!</f>
        <v>#REF!</v>
      </c>
      <c r="G37" s="180">
        <f>'Crash Costs- SW Barrier'!S37</f>
        <v>0</v>
      </c>
      <c r="H37" s="180" t="e">
        <f>#REF!</f>
        <v>#REF!</v>
      </c>
      <c r="I37" s="111"/>
      <c r="J37" s="180"/>
      <c r="K37" s="180">
        <f t="shared" si="1"/>
        <v>0</v>
      </c>
      <c r="L37" s="2"/>
    </row>
    <row r="38" spans="1:12" ht="15" customHeight="1" x14ac:dyDescent="0.3">
      <c r="A38" s="4">
        <f t="shared" si="0"/>
        <v>2049</v>
      </c>
      <c r="B38" s="72">
        <f t="shared" si="2"/>
        <v>27</v>
      </c>
      <c r="C38" s="354">
        <f>'Crash Costs'!S41</f>
        <v>0</v>
      </c>
      <c r="D38" s="180" t="e">
        <f>#REF!</f>
        <v>#REF!</v>
      </c>
      <c r="E38" s="180" t="e">
        <f>#REF!</f>
        <v>#REF!</v>
      </c>
      <c r="F38" s="180" t="e">
        <f>#REF!</f>
        <v>#REF!</v>
      </c>
      <c r="G38" s="180">
        <f>'Crash Costs- SW Barrier'!S38</f>
        <v>0</v>
      </c>
      <c r="H38" s="180" t="e">
        <f>#REF!</f>
        <v>#REF!</v>
      </c>
      <c r="I38" s="111"/>
      <c r="J38" s="180"/>
      <c r="K38" s="180">
        <f t="shared" si="1"/>
        <v>0</v>
      </c>
      <c r="L38" s="2"/>
    </row>
    <row r="39" spans="1:12" ht="15" customHeight="1" x14ac:dyDescent="0.3">
      <c r="A39" s="4">
        <f t="shared" si="0"/>
        <v>2050</v>
      </c>
      <c r="B39" s="72">
        <f t="shared" si="2"/>
        <v>28</v>
      </c>
      <c r="C39" s="354">
        <f>'Crash Costs'!S42</f>
        <v>0</v>
      </c>
      <c r="D39" s="180" t="e">
        <f>#REF!</f>
        <v>#REF!</v>
      </c>
      <c r="E39" s="180" t="e">
        <f>#REF!</f>
        <v>#REF!</v>
      </c>
      <c r="F39" s="180" t="e">
        <f>#REF!</f>
        <v>#REF!</v>
      </c>
      <c r="G39" s="180">
        <f>'Crash Costs- SW Barrier'!S39</f>
        <v>0</v>
      </c>
      <c r="H39" s="180" t="e">
        <f>#REF!</f>
        <v>#REF!</v>
      </c>
      <c r="I39" s="111"/>
      <c r="J39" s="180"/>
      <c r="K39" s="180">
        <f t="shared" si="1"/>
        <v>0</v>
      </c>
      <c r="L39" s="2"/>
    </row>
    <row r="40" spans="1:12" ht="15" customHeight="1" x14ac:dyDescent="0.3">
      <c r="A40" s="4">
        <f t="shared" si="0"/>
        <v>2051</v>
      </c>
      <c r="B40" s="72">
        <f t="shared" si="2"/>
        <v>29</v>
      </c>
      <c r="C40" s="354">
        <f>'Crash Costs'!S43</f>
        <v>0</v>
      </c>
      <c r="D40" s="180" t="e">
        <f>#REF!</f>
        <v>#REF!</v>
      </c>
      <c r="E40" s="180" t="e">
        <f>#REF!</f>
        <v>#REF!</v>
      </c>
      <c r="F40" s="180" t="e">
        <f>#REF!</f>
        <v>#REF!</v>
      </c>
      <c r="G40" s="180">
        <f>'Crash Costs- SW Barrier'!S40</f>
        <v>0</v>
      </c>
      <c r="H40" s="180" t="e">
        <f>#REF!</f>
        <v>#REF!</v>
      </c>
      <c r="I40" s="111"/>
      <c r="J40" s="180"/>
      <c r="K40" s="180">
        <f t="shared" si="1"/>
        <v>0</v>
      </c>
      <c r="L40" s="2"/>
    </row>
    <row r="41" spans="1:12" ht="15" customHeight="1" x14ac:dyDescent="0.3">
      <c r="A41" s="4">
        <f t="shared" si="0"/>
        <v>2052</v>
      </c>
      <c r="B41" s="72">
        <f t="shared" si="2"/>
        <v>30</v>
      </c>
      <c r="C41" s="354">
        <f>'Crash Costs'!S44</f>
        <v>0</v>
      </c>
      <c r="D41" s="180" t="e">
        <f>#REF!</f>
        <v>#REF!</v>
      </c>
      <c r="E41" s="180" t="e">
        <f>#REF!</f>
        <v>#REF!</v>
      </c>
      <c r="F41" s="180" t="e">
        <f>#REF!</f>
        <v>#REF!</v>
      </c>
      <c r="G41" s="180">
        <f>'Crash Costs- SW Barrier'!S41</f>
        <v>0</v>
      </c>
      <c r="H41" s="180" t="e">
        <f>#REF!</f>
        <v>#REF!</v>
      </c>
      <c r="I41" s="111"/>
      <c r="J41" s="180"/>
      <c r="K41" s="180">
        <f t="shared" si="1"/>
        <v>0</v>
      </c>
      <c r="L41" s="2"/>
    </row>
    <row r="42" spans="1:12" ht="15" customHeight="1" x14ac:dyDescent="0.3">
      <c r="A42" s="4">
        <f t="shared" si="0"/>
        <v>2053</v>
      </c>
      <c r="B42" s="72">
        <f t="shared" si="2"/>
        <v>31</v>
      </c>
      <c r="C42" s="354">
        <f>'Crash Costs'!S45</f>
        <v>0</v>
      </c>
      <c r="D42" s="180" t="e">
        <f>#REF!</f>
        <v>#REF!</v>
      </c>
      <c r="E42" s="180" t="e">
        <f>#REF!</f>
        <v>#REF!</v>
      </c>
      <c r="F42" s="180" t="e">
        <f>#REF!</f>
        <v>#REF!</v>
      </c>
      <c r="G42" s="180">
        <f>'Crash Costs- SW Barrier'!S42</f>
        <v>0</v>
      </c>
      <c r="H42" s="180" t="e">
        <f>#REF!</f>
        <v>#REF!</v>
      </c>
      <c r="I42" s="111"/>
      <c r="J42" s="180"/>
      <c r="K42" s="180">
        <f t="shared" ref="K42:K49" si="3">SUM(C42:C42)</f>
        <v>0</v>
      </c>
      <c r="L42" s="2"/>
    </row>
    <row r="43" spans="1:12" ht="15" customHeight="1" x14ac:dyDescent="0.3">
      <c r="A43" s="4">
        <f t="shared" si="0"/>
        <v>2054</v>
      </c>
      <c r="B43" s="72">
        <f t="shared" si="2"/>
        <v>32</v>
      </c>
      <c r="C43" s="354">
        <f>'Crash Costs'!S46</f>
        <v>0</v>
      </c>
      <c r="D43" s="180" t="e">
        <f>#REF!</f>
        <v>#REF!</v>
      </c>
      <c r="E43" s="180" t="e">
        <f>#REF!</f>
        <v>#REF!</v>
      </c>
      <c r="F43" s="180" t="e">
        <f>#REF!</f>
        <v>#REF!</v>
      </c>
      <c r="G43" s="180">
        <f>'Crash Costs- SW Barrier'!S43</f>
        <v>0</v>
      </c>
      <c r="H43" s="180" t="e">
        <f>#REF!</f>
        <v>#REF!</v>
      </c>
      <c r="I43" s="111"/>
      <c r="J43" s="180"/>
      <c r="K43" s="180">
        <f t="shared" si="3"/>
        <v>0</v>
      </c>
      <c r="L43" s="2"/>
    </row>
    <row r="44" spans="1:12" ht="15" customHeight="1" x14ac:dyDescent="0.3">
      <c r="A44" s="4">
        <f t="shared" si="0"/>
        <v>2055</v>
      </c>
      <c r="B44" s="72">
        <f t="shared" si="2"/>
        <v>33</v>
      </c>
      <c r="C44" s="354">
        <f>'Crash Costs'!S47</f>
        <v>0</v>
      </c>
      <c r="D44" s="180" t="e">
        <f>#REF!</f>
        <v>#REF!</v>
      </c>
      <c r="E44" s="180" t="e">
        <f>#REF!</f>
        <v>#REF!</v>
      </c>
      <c r="F44" s="180" t="e">
        <f>#REF!</f>
        <v>#REF!</v>
      </c>
      <c r="G44" s="180">
        <f>'Crash Costs- SW Barrier'!S44</f>
        <v>0</v>
      </c>
      <c r="H44" s="180" t="e">
        <f>#REF!</f>
        <v>#REF!</v>
      </c>
      <c r="I44" s="111"/>
      <c r="J44" s="180"/>
      <c r="K44" s="180">
        <f t="shared" si="3"/>
        <v>0</v>
      </c>
      <c r="L44" s="2"/>
    </row>
    <row r="45" spans="1:12" ht="15" customHeight="1" x14ac:dyDescent="0.3">
      <c r="A45" s="4">
        <f t="shared" si="0"/>
        <v>2056</v>
      </c>
      <c r="B45" s="72">
        <f t="shared" si="2"/>
        <v>34</v>
      </c>
      <c r="C45" s="354">
        <f>'Crash Costs'!S48</f>
        <v>0</v>
      </c>
      <c r="D45" s="180" t="e">
        <f>#REF!</f>
        <v>#REF!</v>
      </c>
      <c r="E45" s="180" t="e">
        <f>#REF!</f>
        <v>#REF!</v>
      </c>
      <c r="F45" s="180" t="e">
        <f>#REF!</f>
        <v>#REF!</v>
      </c>
      <c r="G45" s="180">
        <f>'Crash Costs- SW Barrier'!S45</f>
        <v>0</v>
      </c>
      <c r="H45" s="180" t="e">
        <f>#REF!</f>
        <v>#REF!</v>
      </c>
      <c r="I45" s="111"/>
      <c r="J45" s="180"/>
      <c r="K45" s="180">
        <f t="shared" si="3"/>
        <v>0</v>
      </c>
      <c r="L45" s="2"/>
    </row>
    <row r="46" spans="1:12" ht="15" customHeight="1" x14ac:dyDescent="0.3">
      <c r="A46" s="4">
        <f t="shared" si="0"/>
        <v>2057</v>
      </c>
      <c r="B46" s="72">
        <f t="shared" si="2"/>
        <v>35</v>
      </c>
      <c r="C46" s="354">
        <f>'Crash Costs'!S49</f>
        <v>0</v>
      </c>
      <c r="D46" s="180" t="e">
        <f>#REF!</f>
        <v>#REF!</v>
      </c>
      <c r="E46" s="180" t="e">
        <f>#REF!</f>
        <v>#REF!</v>
      </c>
      <c r="F46" s="180" t="e">
        <f>#REF!</f>
        <v>#REF!</v>
      </c>
      <c r="G46" s="180">
        <f>'Crash Costs- SW Barrier'!S46</f>
        <v>0</v>
      </c>
      <c r="H46" s="180" t="e">
        <f>#REF!</f>
        <v>#REF!</v>
      </c>
      <c r="I46" s="111"/>
      <c r="J46" s="180"/>
      <c r="K46" s="180">
        <f t="shared" si="3"/>
        <v>0</v>
      </c>
      <c r="L46" s="2"/>
    </row>
    <row r="47" spans="1:12" ht="15" customHeight="1" x14ac:dyDescent="0.3">
      <c r="A47" s="4">
        <f t="shared" si="0"/>
        <v>2058</v>
      </c>
      <c r="B47" s="72">
        <f t="shared" si="2"/>
        <v>36</v>
      </c>
      <c r="C47" s="354">
        <f>'Crash Costs'!S50</f>
        <v>0</v>
      </c>
      <c r="D47" s="180" t="e">
        <f>#REF!</f>
        <v>#REF!</v>
      </c>
      <c r="E47" s="180" t="e">
        <f>#REF!</f>
        <v>#REF!</v>
      </c>
      <c r="F47" s="180" t="e">
        <f>#REF!</f>
        <v>#REF!</v>
      </c>
      <c r="G47" s="180">
        <f>'Crash Costs- SW Barrier'!S47</f>
        <v>0</v>
      </c>
      <c r="H47" s="180" t="e">
        <f>#REF!</f>
        <v>#REF!</v>
      </c>
      <c r="I47" s="111"/>
      <c r="J47" s="180"/>
      <c r="K47" s="180">
        <f t="shared" si="3"/>
        <v>0</v>
      </c>
      <c r="L47" s="2"/>
    </row>
    <row r="48" spans="1:12" ht="15" customHeight="1" x14ac:dyDescent="0.3">
      <c r="A48" s="4">
        <f t="shared" si="0"/>
        <v>2059</v>
      </c>
      <c r="B48" s="72">
        <f t="shared" si="2"/>
        <v>37</v>
      </c>
      <c r="C48" s="354">
        <f>'Crash Costs'!S51</f>
        <v>0</v>
      </c>
      <c r="D48" s="180" t="e">
        <f>#REF!</f>
        <v>#REF!</v>
      </c>
      <c r="E48" s="180" t="e">
        <f>#REF!</f>
        <v>#REF!</v>
      </c>
      <c r="F48" s="180" t="e">
        <f>#REF!</f>
        <v>#REF!</v>
      </c>
      <c r="G48" s="180">
        <f>'Crash Costs- SW Barrier'!S48</f>
        <v>0</v>
      </c>
      <c r="H48" s="180" t="e">
        <f>#REF!</f>
        <v>#REF!</v>
      </c>
      <c r="I48" s="111"/>
      <c r="J48" s="180"/>
      <c r="K48" s="180">
        <f t="shared" si="3"/>
        <v>0</v>
      </c>
      <c r="L48" s="2"/>
    </row>
    <row r="49" spans="1:12" ht="15" customHeight="1" thickBot="1" x14ac:dyDescent="0.35">
      <c r="A49" s="351">
        <f t="shared" si="0"/>
        <v>2060</v>
      </c>
      <c r="B49" s="352">
        <f t="shared" si="2"/>
        <v>38</v>
      </c>
      <c r="C49" s="355">
        <f>'Crash Costs'!S52</f>
        <v>0</v>
      </c>
      <c r="D49" s="181" t="e">
        <f>#REF!</f>
        <v>#REF!</v>
      </c>
      <c r="E49" s="181" t="e">
        <f>#REF!</f>
        <v>#REF!</v>
      </c>
      <c r="F49" s="181" t="e">
        <f>#REF!</f>
        <v>#REF!</v>
      </c>
      <c r="G49" s="181">
        <f>'Crash Costs- SW Barrier'!S49</f>
        <v>0</v>
      </c>
      <c r="H49" s="181" t="e">
        <f>#REF!</f>
        <v>#REF!</v>
      </c>
      <c r="I49" s="353"/>
      <c r="J49" s="181"/>
      <c r="K49" s="181">
        <f t="shared" si="3"/>
        <v>0</v>
      </c>
    </row>
    <row r="50" spans="1:12" ht="15" customHeight="1" x14ac:dyDescent="0.3">
      <c r="K50" s="117">
        <f>SUM(K11:K49)</f>
        <v>0</v>
      </c>
    </row>
    <row r="51" spans="1:12" ht="15" customHeight="1" x14ac:dyDescent="0.3"/>
    <row r="52" spans="1:12" ht="15" customHeight="1" x14ac:dyDescent="0.3"/>
    <row r="54" spans="1:12" x14ac:dyDescent="0.3">
      <c r="L54" s="2"/>
    </row>
    <row r="55" spans="1:12" x14ac:dyDescent="0.3">
      <c r="L55" s="2"/>
    </row>
    <row r="56" spans="1:12" x14ac:dyDescent="0.3">
      <c r="L56" s="2"/>
    </row>
    <row r="57" spans="1:12" x14ac:dyDescent="0.3">
      <c r="L57" s="2"/>
    </row>
    <row r="58" spans="1:12" x14ac:dyDescent="0.3">
      <c r="L58" s="2"/>
    </row>
    <row r="59" spans="1:12" x14ac:dyDescent="0.3">
      <c r="L59" s="2"/>
    </row>
    <row r="60" spans="1:12" x14ac:dyDescent="0.3">
      <c r="L60" s="2"/>
    </row>
    <row r="61" spans="1:12" x14ac:dyDescent="0.3">
      <c r="L61" s="3"/>
    </row>
    <row r="65" ht="15" customHeight="1" x14ac:dyDescent="0.3"/>
    <row r="70" ht="15" customHeight="1" x14ac:dyDescent="0.3"/>
    <row r="75" ht="15" customHeight="1" x14ac:dyDescent="0.3"/>
  </sheetData>
  <mergeCells count="16">
    <mergeCell ref="A2:L2"/>
    <mergeCell ref="N2:P2"/>
    <mergeCell ref="A3:L3"/>
    <mergeCell ref="A4:L4"/>
    <mergeCell ref="A5:L5"/>
    <mergeCell ref="A9:A10"/>
    <mergeCell ref="B9:B10"/>
    <mergeCell ref="C9:C10"/>
    <mergeCell ref="K9:K10"/>
    <mergeCell ref="F9:F10"/>
    <mergeCell ref="I9:I10"/>
    <mergeCell ref="J9:J10"/>
    <mergeCell ref="D9:D10"/>
    <mergeCell ref="E9:E10"/>
    <mergeCell ref="G9:G10"/>
    <mergeCell ref="H9:H10"/>
  </mergeCells>
  <hyperlinks>
    <hyperlink ref="A4" r:id="rId1" xr:uid="{FA20FCFB-A429-4108-A5C3-902710EFC50A}"/>
  </hyperlinks>
  <pageMargins left="0.25" right="0.25" top="0.75" bottom="0.75" header="0.3" footer="0.3"/>
  <pageSetup paperSize="133" scale="68" orientation="landscape" r:id="rId2"/>
  <ignoredErrors>
    <ignoredError sqref="K1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82B6-94EB-429B-A84B-9D6EDBB53BDF}">
  <sheetPr>
    <tabColor rgb="FFFFFF00"/>
    <pageSetUpPr fitToPage="1"/>
  </sheetPr>
  <dimension ref="A1:Z78"/>
  <sheetViews>
    <sheetView view="pageBreakPreview" zoomScale="70" zoomScaleNormal="55" zoomScaleSheetLayoutView="70" workbookViewId="0">
      <selection activeCell="A2" sqref="A2:P2"/>
    </sheetView>
  </sheetViews>
  <sheetFormatPr defaultRowHeight="14.4" x14ac:dyDescent="0.3"/>
  <cols>
    <col min="1" max="1" width="13.88671875" customWidth="1"/>
    <col min="2" max="2" width="14.5546875" customWidth="1"/>
    <col min="3" max="3" width="14.44140625" customWidth="1"/>
    <col min="4" max="4" width="11.88671875" customWidth="1"/>
    <col min="5" max="5" width="14" customWidth="1"/>
    <col min="9" max="9" width="28.6640625" customWidth="1"/>
    <col min="10" max="15" width="14.6640625" customWidth="1"/>
    <col min="16" max="18" width="14.33203125" customWidth="1"/>
    <col min="19" max="19" width="19" customWidth="1"/>
    <col min="20" max="20" width="15" customWidth="1"/>
    <col min="21" max="21" width="16.109375" customWidth="1"/>
    <col min="22" max="22" width="16.88671875" customWidth="1"/>
    <col min="23" max="23" width="15" customWidth="1"/>
    <col min="24" max="24" width="34.5546875" customWidth="1"/>
  </cols>
  <sheetData>
    <row r="1" spans="1:20" ht="15.6" x14ac:dyDescent="0.3">
      <c r="A1" s="7" t="s">
        <v>150</v>
      </c>
    </row>
    <row r="2" spans="1:20" ht="15.6" x14ac:dyDescent="0.3">
      <c r="A2" s="7" t="s">
        <v>8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5" thickBot="1" x14ac:dyDescent="0.35">
      <c r="A3" t="s">
        <v>152</v>
      </c>
      <c r="C3" s="114"/>
      <c r="D3" s="3"/>
      <c r="E3" s="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15" thickBot="1" x14ac:dyDescent="0.35">
      <c r="A4" s="6" t="s">
        <v>5</v>
      </c>
      <c r="B4" s="32" t="s">
        <v>146</v>
      </c>
      <c r="C4" s="33"/>
      <c r="H4" s="576" t="s">
        <v>61</v>
      </c>
      <c r="I4" s="577"/>
      <c r="J4" s="577"/>
      <c r="K4" s="577"/>
      <c r="L4" s="578"/>
      <c r="M4" s="576" t="s">
        <v>62</v>
      </c>
      <c r="N4" s="577"/>
      <c r="O4" s="578"/>
      <c r="P4" s="576" t="s">
        <v>63</v>
      </c>
      <c r="Q4" s="577"/>
      <c r="R4" s="578"/>
      <c r="S4" s="579" t="s">
        <v>134</v>
      </c>
      <c r="T4" s="40"/>
    </row>
    <row r="5" spans="1:20" ht="16.2" x14ac:dyDescent="0.3">
      <c r="A5" s="34" t="s">
        <v>88</v>
      </c>
      <c r="B5" s="35">
        <v>4600</v>
      </c>
      <c r="C5" s="2"/>
      <c r="H5" s="582" t="s">
        <v>4</v>
      </c>
      <c r="I5" s="584" t="s">
        <v>60</v>
      </c>
      <c r="J5" s="586" t="s">
        <v>12</v>
      </c>
      <c r="K5" s="586" t="s">
        <v>13</v>
      </c>
      <c r="L5" s="588" t="s">
        <v>27</v>
      </c>
      <c r="M5" s="590" t="s">
        <v>12</v>
      </c>
      <c r="N5" s="595" t="s">
        <v>13</v>
      </c>
      <c r="O5" s="592" t="s">
        <v>27</v>
      </c>
      <c r="P5" s="582" t="s">
        <v>12</v>
      </c>
      <c r="Q5" s="586" t="s">
        <v>13</v>
      </c>
      <c r="R5" s="588" t="s">
        <v>14</v>
      </c>
      <c r="S5" s="580"/>
      <c r="T5" s="40"/>
    </row>
    <row r="6" spans="1:20" ht="16.8" thickBot="1" x14ac:dyDescent="0.35">
      <c r="A6" s="36" t="s">
        <v>89</v>
      </c>
      <c r="B6" s="37">
        <v>454200</v>
      </c>
      <c r="C6" s="2"/>
      <c r="H6" s="583"/>
      <c r="I6" s="585"/>
      <c r="J6" s="587"/>
      <c r="K6" s="587"/>
      <c r="L6" s="589"/>
      <c r="M6" s="591"/>
      <c r="N6" s="596"/>
      <c r="O6" s="593"/>
      <c r="P6" s="583"/>
      <c r="Q6" s="587"/>
      <c r="R6" s="589"/>
      <c r="S6" s="581"/>
      <c r="T6" s="40"/>
    </row>
    <row r="7" spans="1:20" ht="16.8" thickBot="1" x14ac:dyDescent="0.35">
      <c r="A7" s="38" t="s">
        <v>90</v>
      </c>
      <c r="B7" s="39">
        <v>11600000</v>
      </c>
      <c r="C7" s="2"/>
      <c r="H7" s="41">
        <v>2017</v>
      </c>
      <c r="I7" s="113">
        <v>0</v>
      </c>
      <c r="J7" s="174">
        <f>C17</f>
        <v>0</v>
      </c>
      <c r="K7" s="174">
        <f>C18</f>
        <v>0</v>
      </c>
      <c r="L7" s="175">
        <v>0</v>
      </c>
      <c r="M7" s="173">
        <f t="shared" ref="M7:O22" si="0">ROUNDUP(J7*$C$23,2)</f>
        <v>0</v>
      </c>
      <c r="N7" s="174">
        <f t="shared" si="0"/>
        <v>0</v>
      </c>
      <c r="O7" s="175">
        <f t="shared" si="0"/>
        <v>0</v>
      </c>
      <c r="P7" s="41"/>
      <c r="Q7" s="250"/>
      <c r="R7" s="251"/>
      <c r="S7" s="252">
        <f t="shared" ref="S7:S47" si="1">((P7*$B$5)+(Q7*$B$6)+(R7*$B$7))</f>
        <v>0</v>
      </c>
      <c r="T7" s="40"/>
    </row>
    <row r="8" spans="1:20" x14ac:dyDescent="0.3">
      <c r="B8" s="2"/>
      <c r="C8" s="2"/>
      <c r="H8" s="42">
        <f>H7+1</f>
        <v>2018</v>
      </c>
      <c r="I8" s="48">
        <f t="shared" ref="I8:I47" si="2">((1+$C$42)^(H8-$H$7))-1</f>
        <v>7.5000000000000622E-3</v>
      </c>
      <c r="J8" s="177">
        <f>ROUNDUP($J$7*(1+I8),2)</f>
        <v>0</v>
      </c>
      <c r="K8" s="177">
        <f>ROUNDUP($K$7*(1+I8),2)</f>
        <v>0</v>
      </c>
      <c r="L8" s="178">
        <f>ROUNDUP($L$7*(1+I8),2)</f>
        <v>0</v>
      </c>
      <c r="M8" s="176">
        <f t="shared" si="0"/>
        <v>0</v>
      </c>
      <c r="N8" s="177">
        <f t="shared" si="0"/>
        <v>0</v>
      </c>
      <c r="O8" s="178">
        <f t="shared" si="0"/>
        <v>0</v>
      </c>
      <c r="P8" s="42"/>
      <c r="Q8" s="47"/>
      <c r="R8" s="49"/>
      <c r="S8" s="68">
        <f t="shared" si="1"/>
        <v>0</v>
      </c>
      <c r="T8" s="40"/>
    </row>
    <row r="9" spans="1:20" x14ac:dyDescent="0.3">
      <c r="A9" s="17" t="s">
        <v>93</v>
      </c>
      <c r="B9" s="17"/>
      <c r="H9" s="42">
        <f t="shared" ref="H9:H47" si="3">H8+1</f>
        <v>2019</v>
      </c>
      <c r="I9" s="48">
        <f t="shared" si="2"/>
        <v>1.5056250000000215E-2</v>
      </c>
      <c r="J9" s="177">
        <f t="shared" ref="J9:J47" si="4">ROUNDUP($J$7*(1+I9),2)</f>
        <v>0</v>
      </c>
      <c r="K9" s="177">
        <f t="shared" ref="K9:K47" si="5">ROUNDUP($K$7*(1+I9),2)</f>
        <v>0</v>
      </c>
      <c r="L9" s="178">
        <f t="shared" ref="L9:L47" si="6">ROUNDUP($L$7*(1+I9),2)</f>
        <v>0</v>
      </c>
      <c r="M9" s="176">
        <f t="shared" si="0"/>
        <v>0</v>
      </c>
      <c r="N9" s="177">
        <f t="shared" si="0"/>
        <v>0</v>
      </c>
      <c r="O9" s="178">
        <f t="shared" si="0"/>
        <v>0</v>
      </c>
      <c r="P9" s="42"/>
      <c r="Q9" s="47"/>
      <c r="R9" s="49"/>
      <c r="S9" s="68">
        <f t="shared" si="1"/>
        <v>0</v>
      </c>
      <c r="T9" s="40"/>
    </row>
    <row r="10" spans="1:20" x14ac:dyDescent="0.3">
      <c r="A10" s="188" t="s">
        <v>28</v>
      </c>
      <c r="B10" s="17" t="s">
        <v>92</v>
      </c>
      <c r="H10" s="42">
        <f t="shared" si="3"/>
        <v>2020</v>
      </c>
      <c r="I10" s="48">
        <f t="shared" si="2"/>
        <v>2.2669171875000282E-2</v>
      </c>
      <c r="J10" s="177">
        <f t="shared" si="4"/>
        <v>0</v>
      </c>
      <c r="K10" s="177">
        <f t="shared" si="5"/>
        <v>0</v>
      </c>
      <c r="L10" s="178">
        <f t="shared" si="6"/>
        <v>0</v>
      </c>
      <c r="M10" s="176">
        <f t="shared" si="0"/>
        <v>0</v>
      </c>
      <c r="N10" s="177">
        <f t="shared" si="0"/>
        <v>0</v>
      </c>
      <c r="O10" s="178">
        <f t="shared" si="0"/>
        <v>0</v>
      </c>
      <c r="P10" s="42"/>
      <c r="Q10" s="47"/>
      <c r="R10" s="49"/>
      <c r="S10" s="68">
        <f t="shared" si="1"/>
        <v>0</v>
      </c>
      <c r="T10" s="40"/>
    </row>
    <row r="11" spans="1:20" x14ac:dyDescent="0.3">
      <c r="A11" s="188" t="s">
        <v>29</v>
      </c>
      <c r="B11" s="17" t="s">
        <v>94</v>
      </c>
      <c r="H11" s="42">
        <f t="shared" si="3"/>
        <v>2021</v>
      </c>
      <c r="I11" s="48">
        <f t="shared" si="2"/>
        <v>3.0339190664062876E-2</v>
      </c>
      <c r="J11" s="177">
        <f t="shared" si="4"/>
        <v>0</v>
      </c>
      <c r="K11" s="177">
        <f t="shared" si="5"/>
        <v>0</v>
      </c>
      <c r="L11" s="178">
        <f t="shared" si="6"/>
        <v>0</v>
      </c>
      <c r="M11" s="176">
        <f t="shared" si="0"/>
        <v>0</v>
      </c>
      <c r="N11" s="177">
        <f t="shared" si="0"/>
        <v>0</v>
      </c>
      <c r="O11" s="178">
        <f t="shared" si="0"/>
        <v>0</v>
      </c>
      <c r="P11" s="42"/>
      <c r="Q11" s="47"/>
      <c r="R11" s="49"/>
      <c r="S11" s="68">
        <f t="shared" si="1"/>
        <v>0</v>
      </c>
      <c r="T11" s="40"/>
    </row>
    <row r="12" spans="1:20" ht="15" customHeight="1" x14ac:dyDescent="0.3">
      <c r="A12" s="188" t="s">
        <v>30</v>
      </c>
      <c r="B12" s="17" t="s">
        <v>95</v>
      </c>
      <c r="H12" s="42">
        <f t="shared" si="3"/>
        <v>2022</v>
      </c>
      <c r="I12" s="48">
        <f t="shared" si="2"/>
        <v>3.8066734594043306E-2</v>
      </c>
      <c r="J12" s="177">
        <f t="shared" si="4"/>
        <v>0</v>
      </c>
      <c r="K12" s="177">
        <f t="shared" si="5"/>
        <v>0</v>
      </c>
      <c r="L12" s="178">
        <f t="shared" si="6"/>
        <v>0</v>
      </c>
      <c r="M12" s="176">
        <f t="shared" si="0"/>
        <v>0</v>
      </c>
      <c r="N12" s="177">
        <f t="shared" si="0"/>
        <v>0</v>
      </c>
      <c r="O12" s="178">
        <f t="shared" si="0"/>
        <v>0</v>
      </c>
      <c r="P12" s="42"/>
      <c r="Q12" s="47"/>
      <c r="R12" s="49"/>
      <c r="S12" s="68">
        <f t="shared" si="1"/>
        <v>0</v>
      </c>
      <c r="T12" s="40"/>
    </row>
    <row r="13" spans="1:20" ht="15" thickBot="1" x14ac:dyDescent="0.35">
      <c r="H13" s="42">
        <f t="shared" si="3"/>
        <v>2023</v>
      </c>
      <c r="I13" s="48">
        <f t="shared" si="2"/>
        <v>4.5852235103498895E-2</v>
      </c>
      <c r="J13" s="177">
        <f t="shared" si="4"/>
        <v>0</v>
      </c>
      <c r="K13" s="177">
        <f t="shared" si="5"/>
        <v>0</v>
      </c>
      <c r="L13" s="178">
        <f t="shared" si="6"/>
        <v>0</v>
      </c>
      <c r="M13" s="176">
        <f t="shared" si="0"/>
        <v>0</v>
      </c>
      <c r="N13" s="177">
        <f t="shared" si="0"/>
        <v>0</v>
      </c>
      <c r="O13" s="178">
        <f t="shared" si="0"/>
        <v>0</v>
      </c>
      <c r="P13" s="42"/>
      <c r="Q13" s="47"/>
      <c r="R13" s="49"/>
      <c r="S13" s="68">
        <f t="shared" si="1"/>
        <v>0</v>
      </c>
      <c r="T13" s="40"/>
    </row>
    <row r="14" spans="1:20" ht="15" customHeight="1" x14ac:dyDescent="0.3">
      <c r="A14" s="597" t="s">
        <v>148</v>
      </c>
      <c r="B14" s="597"/>
      <c r="C14" s="597" t="s">
        <v>11</v>
      </c>
      <c r="H14" s="42">
        <f t="shared" si="3"/>
        <v>2024</v>
      </c>
      <c r="I14" s="48">
        <f t="shared" si="2"/>
        <v>5.3696126866775273E-2</v>
      </c>
      <c r="J14" s="177">
        <f t="shared" si="4"/>
        <v>0</v>
      </c>
      <c r="K14" s="177">
        <f t="shared" si="5"/>
        <v>0</v>
      </c>
      <c r="L14" s="178">
        <f t="shared" si="6"/>
        <v>0</v>
      </c>
      <c r="M14" s="176">
        <f t="shared" si="0"/>
        <v>0</v>
      </c>
      <c r="N14" s="177">
        <f t="shared" si="0"/>
        <v>0</v>
      </c>
      <c r="O14" s="178">
        <f t="shared" si="0"/>
        <v>0</v>
      </c>
      <c r="P14" s="42"/>
      <c r="Q14" s="47"/>
      <c r="R14" s="49"/>
      <c r="S14" s="68">
        <f t="shared" si="1"/>
        <v>0</v>
      </c>
      <c r="T14" s="40"/>
    </row>
    <row r="15" spans="1:20" ht="15" thickBot="1" x14ac:dyDescent="0.35">
      <c r="A15" s="598"/>
      <c r="B15" s="598"/>
      <c r="C15" s="598"/>
      <c r="H15" s="42">
        <f t="shared" si="3"/>
        <v>2025</v>
      </c>
      <c r="I15" s="48">
        <f t="shared" si="2"/>
        <v>6.159884781827607E-2</v>
      </c>
      <c r="J15" s="177">
        <f t="shared" si="4"/>
        <v>0</v>
      </c>
      <c r="K15" s="177">
        <f t="shared" si="5"/>
        <v>0</v>
      </c>
      <c r="L15" s="178">
        <f t="shared" si="6"/>
        <v>0</v>
      </c>
      <c r="M15" s="176">
        <f t="shared" si="0"/>
        <v>0</v>
      </c>
      <c r="N15" s="177">
        <f t="shared" si="0"/>
        <v>0</v>
      </c>
      <c r="O15" s="178">
        <f t="shared" si="0"/>
        <v>0</v>
      </c>
      <c r="P15" s="42"/>
      <c r="Q15" s="47"/>
      <c r="R15" s="49"/>
      <c r="S15" s="68">
        <f t="shared" si="1"/>
        <v>0</v>
      </c>
      <c r="T15" s="40"/>
    </row>
    <row r="16" spans="1:20" x14ac:dyDescent="0.3">
      <c r="A16" s="34" t="s">
        <v>26</v>
      </c>
      <c r="B16" s="34">
        <v>0</v>
      </c>
      <c r="C16" s="44">
        <f>B16/6</f>
        <v>0</v>
      </c>
      <c r="H16" s="42">
        <f t="shared" si="3"/>
        <v>2026</v>
      </c>
      <c r="I16" s="48">
        <f t="shared" si="2"/>
        <v>6.9560839176913136E-2</v>
      </c>
      <c r="J16" s="177">
        <f t="shared" si="4"/>
        <v>0</v>
      </c>
      <c r="K16" s="177">
        <f t="shared" si="5"/>
        <v>0</v>
      </c>
      <c r="L16" s="178">
        <f t="shared" si="6"/>
        <v>0</v>
      </c>
      <c r="M16" s="176">
        <f t="shared" si="0"/>
        <v>0</v>
      </c>
      <c r="N16" s="177">
        <f t="shared" si="0"/>
        <v>0</v>
      </c>
      <c r="O16" s="178">
        <f t="shared" si="0"/>
        <v>0</v>
      </c>
      <c r="P16" s="42"/>
      <c r="Q16" s="47"/>
      <c r="R16" s="49"/>
      <c r="S16" s="68">
        <f t="shared" si="1"/>
        <v>0</v>
      </c>
      <c r="T16" s="40"/>
    </row>
    <row r="17" spans="1:20" x14ac:dyDescent="0.3">
      <c r="A17" s="36" t="s">
        <v>6</v>
      </c>
      <c r="B17" s="36">
        <f>B16-B18</f>
        <v>0</v>
      </c>
      <c r="C17" s="45">
        <f>B17/6</f>
        <v>0</v>
      </c>
      <c r="H17" s="42">
        <f t="shared" si="3"/>
        <v>2027</v>
      </c>
      <c r="I17" s="48">
        <f t="shared" si="2"/>
        <v>7.7582545470740172E-2</v>
      </c>
      <c r="J17" s="177">
        <f t="shared" si="4"/>
        <v>0</v>
      </c>
      <c r="K17" s="177">
        <f t="shared" si="5"/>
        <v>0</v>
      </c>
      <c r="L17" s="178">
        <f t="shared" si="6"/>
        <v>0</v>
      </c>
      <c r="M17" s="176">
        <f t="shared" si="0"/>
        <v>0</v>
      </c>
      <c r="N17" s="177">
        <f t="shared" si="0"/>
        <v>0</v>
      </c>
      <c r="O17" s="178">
        <f t="shared" si="0"/>
        <v>0</v>
      </c>
      <c r="P17" s="176">
        <f t="shared" ref="P17:R22" si="7">ABS(J17-M17)</f>
        <v>0</v>
      </c>
      <c r="Q17" s="179">
        <f t="shared" si="7"/>
        <v>0</v>
      </c>
      <c r="R17" s="178">
        <f t="shared" si="7"/>
        <v>0</v>
      </c>
      <c r="S17" s="68">
        <f t="shared" si="1"/>
        <v>0</v>
      </c>
      <c r="T17" s="40"/>
    </row>
    <row r="18" spans="1:20" x14ac:dyDescent="0.3">
      <c r="A18" s="36" t="s">
        <v>7</v>
      </c>
      <c r="B18" s="36">
        <v>0</v>
      </c>
      <c r="C18" s="45">
        <f>B18/6</f>
        <v>0</v>
      </c>
      <c r="D18" s="22"/>
      <c r="H18" s="42">
        <f t="shared" si="3"/>
        <v>2028</v>
      </c>
      <c r="I18" s="48">
        <f t="shared" si="2"/>
        <v>8.5664414561770874E-2</v>
      </c>
      <c r="J18" s="177">
        <f t="shared" si="4"/>
        <v>0</v>
      </c>
      <c r="K18" s="177">
        <f t="shared" si="5"/>
        <v>0</v>
      </c>
      <c r="L18" s="178">
        <f t="shared" si="6"/>
        <v>0</v>
      </c>
      <c r="M18" s="176">
        <f t="shared" si="0"/>
        <v>0</v>
      </c>
      <c r="N18" s="177">
        <f t="shared" si="0"/>
        <v>0</v>
      </c>
      <c r="O18" s="178">
        <f t="shared" si="0"/>
        <v>0</v>
      </c>
      <c r="P18" s="176">
        <f t="shared" si="7"/>
        <v>0</v>
      </c>
      <c r="Q18" s="179">
        <f t="shared" si="7"/>
        <v>0</v>
      </c>
      <c r="R18" s="178">
        <f t="shared" si="7"/>
        <v>0</v>
      </c>
      <c r="S18" s="68">
        <f t="shared" si="1"/>
        <v>0</v>
      </c>
      <c r="T18" s="40"/>
    </row>
    <row r="19" spans="1:20" ht="15" thickBot="1" x14ac:dyDescent="0.35">
      <c r="A19" s="38" t="s">
        <v>9</v>
      </c>
      <c r="B19" s="38">
        <v>0</v>
      </c>
      <c r="C19" s="46">
        <f>B19/10</f>
        <v>0</v>
      </c>
      <c r="D19" s="22"/>
      <c r="H19" s="42">
        <f t="shared" si="3"/>
        <v>2029</v>
      </c>
      <c r="I19" s="48">
        <f t="shared" si="2"/>
        <v>9.3806897670984268E-2</v>
      </c>
      <c r="J19" s="177">
        <f t="shared" si="4"/>
        <v>0</v>
      </c>
      <c r="K19" s="177">
        <f t="shared" si="5"/>
        <v>0</v>
      </c>
      <c r="L19" s="178">
        <f t="shared" si="6"/>
        <v>0</v>
      </c>
      <c r="M19" s="176">
        <f t="shared" si="0"/>
        <v>0</v>
      </c>
      <c r="N19" s="177">
        <f t="shared" si="0"/>
        <v>0</v>
      </c>
      <c r="O19" s="178">
        <f t="shared" si="0"/>
        <v>0</v>
      </c>
      <c r="P19" s="176">
        <f t="shared" si="7"/>
        <v>0</v>
      </c>
      <c r="Q19" s="179">
        <f t="shared" si="7"/>
        <v>0</v>
      </c>
      <c r="R19" s="178">
        <f t="shared" si="7"/>
        <v>0</v>
      </c>
      <c r="S19" s="68">
        <f t="shared" si="1"/>
        <v>0</v>
      </c>
      <c r="T19" s="40"/>
    </row>
    <row r="20" spans="1:20" x14ac:dyDescent="0.3">
      <c r="A20" s="188" t="s">
        <v>96</v>
      </c>
      <c r="B20" s="171" t="s">
        <v>149</v>
      </c>
      <c r="C20" s="171"/>
      <c r="D20" s="22"/>
      <c r="H20" s="42">
        <f t="shared" si="3"/>
        <v>2030</v>
      </c>
      <c r="I20" s="48">
        <f t="shared" si="2"/>
        <v>0.10201044940351656</v>
      </c>
      <c r="J20" s="177">
        <f t="shared" si="4"/>
        <v>0</v>
      </c>
      <c r="K20" s="177">
        <f t="shared" si="5"/>
        <v>0</v>
      </c>
      <c r="L20" s="178">
        <f t="shared" si="6"/>
        <v>0</v>
      </c>
      <c r="M20" s="176">
        <f t="shared" si="0"/>
        <v>0</v>
      </c>
      <c r="N20" s="177">
        <f t="shared" si="0"/>
        <v>0</v>
      </c>
      <c r="O20" s="178">
        <f t="shared" si="0"/>
        <v>0</v>
      </c>
      <c r="P20" s="176">
        <f t="shared" si="7"/>
        <v>0</v>
      </c>
      <c r="Q20" s="179">
        <f t="shared" si="7"/>
        <v>0</v>
      </c>
      <c r="R20" s="178">
        <f t="shared" si="7"/>
        <v>0</v>
      </c>
      <c r="S20" s="68">
        <f t="shared" si="1"/>
        <v>0</v>
      </c>
      <c r="T20" s="40"/>
    </row>
    <row r="21" spans="1:20" ht="15" thickBot="1" x14ac:dyDescent="0.35">
      <c r="A21" s="22"/>
      <c r="B21" s="22"/>
      <c r="C21" s="22"/>
      <c r="D21" s="22"/>
      <c r="H21" s="42">
        <f t="shared" si="3"/>
        <v>2031</v>
      </c>
      <c r="I21" s="48">
        <f t="shared" si="2"/>
        <v>0.11027552777404326</v>
      </c>
      <c r="J21" s="177">
        <f t="shared" si="4"/>
        <v>0</v>
      </c>
      <c r="K21" s="177">
        <f t="shared" si="5"/>
        <v>0</v>
      </c>
      <c r="L21" s="178">
        <f t="shared" si="6"/>
        <v>0</v>
      </c>
      <c r="M21" s="176">
        <f t="shared" si="0"/>
        <v>0</v>
      </c>
      <c r="N21" s="177">
        <f t="shared" si="0"/>
        <v>0</v>
      </c>
      <c r="O21" s="178">
        <f t="shared" si="0"/>
        <v>0</v>
      </c>
      <c r="P21" s="176">
        <f t="shared" si="7"/>
        <v>0</v>
      </c>
      <c r="Q21" s="179">
        <f t="shared" si="7"/>
        <v>0</v>
      </c>
      <c r="R21" s="178">
        <f t="shared" si="7"/>
        <v>0</v>
      </c>
      <c r="S21" s="68">
        <f t="shared" si="1"/>
        <v>0</v>
      </c>
      <c r="T21" s="40"/>
    </row>
    <row r="22" spans="1:20" ht="15" thickBot="1" x14ac:dyDescent="0.35">
      <c r="A22" s="599" t="s">
        <v>147</v>
      </c>
      <c r="B22" s="472"/>
      <c r="C22" s="473"/>
      <c r="H22" s="42">
        <f t="shared" si="3"/>
        <v>2032</v>
      </c>
      <c r="I22" s="48">
        <f t="shared" si="2"/>
        <v>0.11860259423234876</v>
      </c>
      <c r="J22" s="177">
        <f t="shared" si="4"/>
        <v>0</v>
      </c>
      <c r="K22" s="177">
        <f t="shared" si="5"/>
        <v>0</v>
      </c>
      <c r="L22" s="178">
        <f t="shared" si="6"/>
        <v>0</v>
      </c>
      <c r="M22" s="176">
        <f t="shared" si="0"/>
        <v>0</v>
      </c>
      <c r="N22" s="177">
        <f t="shared" si="0"/>
        <v>0</v>
      </c>
      <c r="O22" s="178">
        <f t="shared" si="0"/>
        <v>0</v>
      </c>
      <c r="P22" s="176">
        <f t="shared" si="7"/>
        <v>0</v>
      </c>
      <c r="Q22" s="179">
        <f t="shared" si="7"/>
        <v>0</v>
      </c>
      <c r="R22" s="178">
        <f t="shared" si="7"/>
        <v>0</v>
      </c>
      <c r="S22" s="68">
        <f t="shared" si="1"/>
        <v>0</v>
      </c>
      <c r="T22" s="40"/>
    </row>
    <row r="23" spans="1:20" ht="15" thickBot="1" x14ac:dyDescent="0.35">
      <c r="A23" s="599" t="s">
        <v>151</v>
      </c>
      <c r="B23" s="472"/>
      <c r="C23" s="71">
        <v>0.33</v>
      </c>
      <c r="H23" s="42">
        <f t="shared" si="3"/>
        <v>2033</v>
      </c>
      <c r="I23" s="48">
        <f t="shared" si="2"/>
        <v>0.12699211368909125</v>
      </c>
      <c r="J23" s="177">
        <f t="shared" si="4"/>
        <v>0</v>
      </c>
      <c r="K23" s="177">
        <f t="shared" si="5"/>
        <v>0</v>
      </c>
      <c r="L23" s="178">
        <f t="shared" si="6"/>
        <v>0</v>
      </c>
      <c r="M23" s="176">
        <f t="shared" ref="M23:O47" si="8">ROUNDUP(J23*$C$23,2)</f>
        <v>0</v>
      </c>
      <c r="N23" s="177">
        <f t="shared" si="8"/>
        <v>0</v>
      </c>
      <c r="O23" s="178">
        <f t="shared" si="8"/>
        <v>0</v>
      </c>
      <c r="P23" s="176">
        <f>ABS(J23-M23)</f>
        <v>0</v>
      </c>
      <c r="Q23" s="179">
        <f>ABS(K23-N23)</f>
        <v>0</v>
      </c>
      <c r="R23" s="178">
        <f>ABS(L23-O23)</f>
        <v>0</v>
      </c>
      <c r="S23" s="68">
        <f t="shared" si="1"/>
        <v>0</v>
      </c>
      <c r="T23" s="40"/>
    </row>
    <row r="24" spans="1:20" ht="15" customHeight="1" x14ac:dyDescent="0.3">
      <c r="A24" s="594"/>
      <c r="B24" s="594"/>
      <c r="C24" s="594"/>
      <c r="D24" s="594"/>
      <c r="E24" s="594"/>
      <c r="F24" s="594"/>
      <c r="H24" s="42">
        <f t="shared" si="3"/>
        <v>2034</v>
      </c>
      <c r="I24" s="48">
        <f t="shared" si="2"/>
        <v>0.13544455454175952</v>
      </c>
      <c r="J24" s="177">
        <f t="shared" si="4"/>
        <v>0</v>
      </c>
      <c r="K24" s="177">
        <f t="shared" si="5"/>
        <v>0</v>
      </c>
      <c r="L24" s="178">
        <f t="shared" si="6"/>
        <v>0</v>
      </c>
      <c r="M24" s="176">
        <f t="shared" si="8"/>
        <v>0</v>
      </c>
      <c r="N24" s="177">
        <f t="shared" si="8"/>
        <v>0</v>
      </c>
      <c r="O24" s="178">
        <f t="shared" si="8"/>
        <v>0</v>
      </c>
      <c r="P24" s="176">
        <f t="shared" ref="P24:R43" si="9">ABS(J24-M24)</f>
        <v>0</v>
      </c>
      <c r="Q24" s="179">
        <f t="shared" si="9"/>
        <v>0</v>
      </c>
      <c r="R24" s="178">
        <f t="shared" si="9"/>
        <v>0</v>
      </c>
      <c r="S24" s="68">
        <f t="shared" si="1"/>
        <v>0</v>
      </c>
      <c r="T24" s="40"/>
    </row>
    <row r="25" spans="1:20" x14ac:dyDescent="0.3">
      <c r="A25" s="594"/>
      <c r="B25" s="594"/>
      <c r="C25" s="594"/>
      <c r="D25" s="594"/>
      <c r="E25" s="594"/>
      <c r="F25" s="594"/>
      <c r="H25" s="42">
        <f t="shared" si="3"/>
        <v>2035</v>
      </c>
      <c r="I25" s="48">
        <f t="shared" si="2"/>
        <v>0.14396038870082295</v>
      </c>
      <c r="J25" s="177">
        <f t="shared" si="4"/>
        <v>0</v>
      </c>
      <c r="K25" s="177">
        <f t="shared" si="5"/>
        <v>0</v>
      </c>
      <c r="L25" s="178">
        <f t="shared" si="6"/>
        <v>0</v>
      </c>
      <c r="M25" s="176">
        <f t="shared" si="8"/>
        <v>0</v>
      </c>
      <c r="N25" s="177">
        <f t="shared" si="8"/>
        <v>0</v>
      </c>
      <c r="O25" s="178">
        <f t="shared" si="8"/>
        <v>0</v>
      </c>
      <c r="P25" s="176">
        <f t="shared" si="9"/>
        <v>0</v>
      </c>
      <c r="Q25" s="179">
        <f t="shared" si="9"/>
        <v>0</v>
      </c>
      <c r="R25" s="178">
        <f t="shared" si="9"/>
        <v>0</v>
      </c>
      <c r="S25" s="68">
        <f t="shared" si="1"/>
        <v>0</v>
      </c>
      <c r="T25" s="40"/>
    </row>
    <row r="26" spans="1:20" x14ac:dyDescent="0.3">
      <c r="A26" s="594" t="s">
        <v>97</v>
      </c>
      <c r="B26" s="594"/>
      <c r="C26" s="594"/>
      <c r="D26" s="594"/>
      <c r="E26" s="594"/>
      <c r="F26" s="594"/>
      <c r="H26" s="42">
        <f t="shared" si="3"/>
        <v>2036</v>
      </c>
      <c r="I26" s="48">
        <f t="shared" si="2"/>
        <v>0.15254009161607907</v>
      </c>
      <c r="J26" s="177">
        <f t="shared" si="4"/>
        <v>0</v>
      </c>
      <c r="K26" s="177">
        <f t="shared" si="5"/>
        <v>0</v>
      </c>
      <c r="L26" s="178">
        <f t="shared" si="6"/>
        <v>0</v>
      </c>
      <c r="M26" s="176">
        <f t="shared" si="8"/>
        <v>0</v>
      </c>
      <c r="N26" s="177">
        <f t="shared" si="8"/>
        <v>0</v>
      </c>
      <c r="O26" s="178">
        <f t="shared" si="8"/>
        <v>0</v>
      </c>
      <c r="P26" s="176">
        <f t="shared" si="9"/>
        <v>0</v>
      </c>
      <c r="Q26" s="179">
        <f t="shared" si="9"/>
        <v>0</v>
      </c>
      <c r="R26" s="178">
        <f t="shared" si="9"/>
        <v>0</v>
      </c>
      <c r="S26" s="68">
        <f t="shared" si="1"/>
        <v>0</v>
      </c>
      <c r="T26" s="40"/>
    </row>
    <row r="27" spans="1:20" x14ac:dyDescent="0.3">
      <c r="H27" s="42">
        <f t="shared" si="3"/>
        <v>2037</v>
      </c>
      <c r="I27" s="48">
        <f t="shared" si="2"/>
        <v>0.16118414230319988</v>
      </c>
      <c r="J27" s="177">
        <f t="shared" si="4"/>
        <v>0</v>
      </c>
      <c r="K27" s="177">
        <f t="shared" si="5"/>
        <v>0</v>
      </c>
      <c r="L27" s="178">
        <f t="shared" si="6"/>
        <v>0</v>
      </c>
      <c r="M27" s="176">
        <f t="shared" si="8"/>
        <v>0</v>
      </c>
      <c r="N27" s="177">
        <f t="shared" si="8"/>
        <v>0</v>
      </c>
      <c r="O27" s="178">
        <f t="shared" si="8"/>
        <v>0</v>
      </c>
      <c r="P27" s="176">
        <f t="shared" si="9"/>
        <v>0</v>
      </c>
      <c r="Q27" s="179">
        <f t="shared" si="9"/>
        <v>0</v>
      </c>
      <c r="R27" s="178">
        <f t="shared" si="9"/>
        <v>0</v>
      </c>
      <c r="S27" s="68">
        <f t="shared" si="1"/>
        <v>0</v>
      </c>
      <c r="T27" s="40"/>
    </row>
    <row r="28" spans="1:20" x14ac:dyDescent="0.3">
      <c r="H28" s="42">
        <f t="shared" si="3"/>
        <v>2038</v>
      </c>
      <c r="I28" s="48">
        <f t="shared" si="2"/>
        <v>0.16989302337047385</v>
      </c>
      <c r="J28" s="177">
        <f t="shared" si="4"/>
        <v>0</v>
      </c>
      <c r="K28" s="177">
        <f t="shared" si="5"/>
        <v>0</v>
      </c>
      <c r="L28" s="178">
        <f t="shared" si="6"/>
        <v>0</v>
      </c>
      <c r="M28" s="176">
        <f t="shared" si="8"/>
        <v>0</v>
      </c>
      <c r="N28" s="177">
        <f t="shared" si="8"/>
        <v>0</v>
      </c>
      <c r="O28" s="178">
        <f t="shared" si="8"/>
        <v>0</v>
      </c>
      <c r="P28" s="176">
        <f t="shared" si="9"/>
        <v>0</v>
      </c>
      <c r="Q28" s="179">
        <f t="shared" si="9"/>
        <v>0</v>
      </c>
      <c r="R28" s="178">
        <f t="shared" si="9"/>
        <v>0</v>
      </c>
      <c r="S28" s="68">
        <f t="shared" si="1"/>
        <v>0</v>
      </c>
      <c r="T28" s="40"/>
    </row>
    <row r="29" spans="1:20" x14ac:dyDescent="0.3">
      <c r="H29" s="42">
        <f t="shared" si="3"/>
        <v>2039</v>
      </c>
      <c r="I29" s="48">
        <f t="shared" si="2"/>
        <v>0.17866722104575272</v>
      </c>
      <c r="J29" s="177">
        <f t="shared" si="4"/>
        <v>0</v>
      </c>
      <c r="K29" s="177">
        <f t="shared" si="5"/>
        <v>0</v>
      </c>
      <c r="L29" s="178">
        <f t="shared" si="6"/>
        <v>0</v>
      </c>
      <c r="M29" s="176">
        <f t="shared" si="8"/>
        <v>0</v>
      </c>
      <c r="N29" s="177">
        <f t="shared" si="8"/>
        <v>0</v>
      </c>
      <c r="O29" s="178">
        <f t="shared" si="8"/>
        <v>0</v>
      </c>
      <c r="P29" s="176">
        <f t="shared" si="9"/>
        <v>0</v>
      </c>
      <c r="Q29" s="179">
        <f t="shared" si="9"/>
        <v>0</v>
      </c>
      <c r="R29" s="178">
        <f t="shared" si="9"/>
        <v>0</v>
      </c>
      <c r="S29" s="68">
        <f t="shared" si="1"/>
        <v>0</v>
      </c>
      <c r="T29" s="40"/>
    </row>
    <row r="30" spans="1:20" x14ac:dyDescent="0.3">
      <c r="H30" s="42">
        <f t="shared" si="3"/>
        <v>2040</v>
      </c>
      <c r="I30" s="48">
        <f t="shared" si="2"/>
        <v>0.18750722520359586</v>
      </c>
      <c r="J30" s="177">
        <f t="shared" si="4"/>
        <v>0</v>
      </c>
      <c r="K30" s="177">
        <f t="shared" si="5"/>
        <v>0</v>
      </c>
      <c r="L30" s="178">
        <f t="shared" si="6"/>
        <v>0</v>
      </c>
      <c r="M30" s="176">
        <f t="shared" si="8"/>
        <v>0</v>
      </c>
      <c r="N30" s="177">
        <f t="shared" si="8"/>
        <v>0</v>
      </c>
      <c r="O30" s="178">
        <f t="shared" si="8"/>
        <v>0</v>
      </c>
      <c r="P30" s="176">
        <f t="shared" si="9"/>
        <v>0</v>
      </c>
      <c r="Q30" s="179">
        <f t="shared" si="9"/>
        <v>0</v>
      </c>
      <c r="R30" s="178">
        <f t="shared" si="9"/>
        <v>0</v>
      </c>
      <c r="S30" s="68">
        <f t="shared" si="1"/>
        <v>0</v>
      </c>
      <c r="T30" s="40"/>
    </row>
    <row r="31" spans="1:20" ht="15" customHeight="1" x14ac:dyDescent="0.3">
      <c r="H31" s="42">
        <f t="shared" si="3"/>
        <v>2041</v>
      </c>
      <c r="I31" s="48">
        <f t="shared" si="2"/>
        <v>0.1964135293926228</v>
      </c>
      <c r="J31" s="177">
        <f t="shared" si="4"/>
        <v>0</v>
      </c>
      <c r="K31" s="177">
        <f t="shared" si="5"/>
        <v>0</v>
      </c>
      <c r="L31" s="178">
        <f t="shared" si="6"/>
        <v>0</v>
      </c>
      <c r="M31" s="176">
        <f t="shared" si="8"/>
        <v>0</v>
      </c>
      <c r="N31" s="177">
        <f t="shared" si="8"/>
        <v>0</v>
      </c>
      <c r="O31" s="178">
        <f t="shared" si="8"/>
        <v>0</v>
      </c>
      <c r="P31" s="176">
        <f t="shared" si="9"/>
        <v>0</v>
      </c>
      <c r="Q31" s="179">
        <f t="shared" si="9"/>
        <v>0</v>
      </c>
      <c r="R31" s="178">
        <f t="shared" si="9"/>
        <v>0</v>
      </c>
      <c r="S31" s="68">
        <f t="shared" si="1"/>
        <v>0</v>
      </c>
      <c r="T31" s="40"/>
    </row>
    <row r="32" spans="1:20" x14ac:dyDescent="0.3">
      <c r="H32" s="42">
        <f t="shared" si="3"/>
        <v>2042</v>
      </c>
      <c r="I32" s="48">
        <f t="shared" si="2"/>
        <v>0.20538663086306763</v>
      </c>
      <c r="J32" s="177">
        <f t="shared" si="4"/>
        <v>0</v>
      </c>
      <c r="K32" s="177">
        <f t="shared" si="5"/>
        <v>0</v>
      </c>
      <c r="L32" s="178">
        <f t="shared" si="6"/>
        <v>0</v>
      </c>
      <c r="M32" s="176">
        <f t="shared" si="8"/>
        <v>0</v>
      </c>
      <c r="N32" s="177">
        <f t="shared" si="8"/>
        <v>0</v>
      </c>
      <c r="O32" s="178">
        <f t="shared" si="8"/>
        <v>0</v>
      </c>
      <c r="P32" s="176">
        <f t="shared" si="9"/>
        <v>0</v>
      </c>
      <c r="Q32" s="179">
        <f t="shared" si="9"/>
        <v>0</v>
      </c>
      <c r="R32" s="178">
        <f t="shared" si="9"/>
        <v>0</v>
      </c>
      <c r="S32" s="68">
        <f t="shared" si="1"/>
        <v>0</v>
      </c>
      <c r="T32" s="40"/>
    </row>
    <row r="33" spans="1:26" x14ac:dyDescent="0.3">
      <c r="H33" s="42">
        <f t="shared" si="3"/>
        <v>2043</v>
      </c>
      <c r="I33" s="48">
        <f t="shared" si="2"/>
        <v>0.21442703059454082</v>
      </c>
      <c r="J33" s="177">
        <f t="shared" si="4"/>
        <v>0</v>
      </c>
      <c r="K33" s="177">
        <f t="shared" si="5"/>
        <v>0</v>
      </c>
      <c r="L33" s="178">
        <f t="shared" si="6"/>
        <v>0</v>
      </c>
      <c r="M33" s="176">
        <f t="shared" si="8"/>
        <v>0</v>
      </c>
      <c r="N33" s="177">
        <f t="shared" si="8"/>
        <v>0</v>
      </c>
      <c r="O33" s="178">
        <f t="shared" si="8"/>
        <v>0</v>
      </c>
      <c r="P33" s="176">
        <f t="shared" si="9"/>
        <v>0</v>
      </c>
      <c r="Q33" s="179">
        <f t="shared" si="9"/>
        <v>0</v>
      </c>
      <c r="R33" s="178">
        <f t="shared" si="9"/>
        <v>0</v>
      </c>
      <c r="S33" s="68">
        <f t="shared" si="1"/>
        <v>0</v>
      </c>
      <c r="T33" s="40"/>
    </row>
    <row r="34" spans="1:26" x14ac:dyDescent="0.3">
      <c r="H34" s="42">
        <f t="shared" si="3"/>
        <v>2044</v>
      </c>
      <c r="I34" s="48">
        <f t="shared" si="2"/>
        <v>0.22353523332399994</v>
      </c>
      <c r="J34" s="177">
        <f t="shared" si="4"/>
        <v>0</v>
      </c>
      <c r="K34" s="177">
        <f t="shared" si="5"/>
        <v>0</v>
      </c>
      <c r="L34" s="178">
        <f t="shared" si="6"/>
        <v>0</v>
      </c>
      <c r="M34" s="176">
        <f t="shared" si="8"/>
        <v>0</v>
      </c>
      <c r="N34" s="177">
        <f t="shared" si="8"/>
        <v>0</v>
      </c>
      <c r="O34" s="178">
        <f t="shared" si="8"/>
        <v>0</v>
      </c>
      <c r="P34" s="176">
        <f t="shared" si="9"/>
        <v>0</v>
      </c>
      <c r="Q34" s="179">
        <f t="shared" si="9"/>
        <v>0</v>
      </c>
      <c r="R34" s="178">
        <f t="shared" si="9"/>
        <v>0</v>
      </c>
      <c r="S34" s="68">
        <f t="shared" si="1"/>
        <v>0</v>
      </c>
      <c r="T34" s="40"/>
    </row>
    <row r="35" spans="1:26" x14ac:dyDescent="0.3">
      <c r="H35" s="42">
        <f t="shared" si="3"/>
        <v>2045</v>
      </c>
      <c r="I35" s="48">
        <f t="shared" si="2"/>
        <v>0.23271174757393021</v>
      </c>
      <c r="J35" s="177">
        <f t="shared" si="4"/>
        <v>0</v>
      </c>
      <c r="K35" s="177">
        <f t="shared" si="5"/>
        <v>0</v>
      </c>
      <c r="L35" s="178">
        <f t="shared" si="6"/>
        <v>0</v>
      </c>
      <c r="M35" s="176">
        <f t="shared" si="8"/>
        <v>0</v>
      </c>
      <c r="N35" s="177">
        <f t="shared" si="8"/>
        <v>0</v>
      </c>
      <c r="O35" s="178">
        <f t="shared" si="8"/>
        <v>0</v>
      </c>
      <c r="P35" s="176">
        <f t="shared" si="9"/>
        <v>0</v>
      </c>
      <c r="Q35" s="179">
        <f t="shared" si="9"/>
        <v>0</v>
      </c>
      <c r="R35" s="178">
        <f t="shared" si="9"/>
        <v>0</v>
      </c>
      <c r="S35" s="68">
        <f t="shared" si="1"/>
        <v>0</v>
      </c>
      <c r="T35" s="40"/>
    </row>
    <row r="36" spans="1:26" ht="15" customHeight="1" x14ac:dyDescent="0.3">
      <c r="H36" s="42">
        <f t="shared" si="3"/>
        <v>2046</v>
      </c>
      <c r="I36" s="48">
        <f t="shared" si="2"/>
        <v>0.24195708568073448</v>
      </c>
      <c r="J36" s="177">
        <f t="shared" si="4"/>
        <v>0</v>
      </c>
      <c r="K36" s="177">
        <f t="shared" si="5"/>
        <v>0</v>
      </c>
      <c r="L36" s="178">
        <f t="shared" si="6"/>
        <v>0</v>
      </c>
      <c r="M36" s="176">
        <f t="shared" si="8"/>
        <v>0</v>
      </c>
      <c r="N36" s="177">
        <f t="shared" si="8"/>
        <v>0</v>
      </c>
      <c r="O36" s="178">
        <f t="shared" si="8"/>
        <v>0</v>
      </c>
      <c r="P36" s="176">
        <f t="shared" si="9"/>
        <v>0</v>
      </c>
      <c r="Q36" s="179">
        <f t="shared" si="9"/>
        <v>0</v>
      </c>
      <c r="R36" s="178">
        <f t="shared" si="9"/>
        <v>0</v>
      </c>
      <c r="S36" s="68">
        <f t="shared" si="1"/>
        <v>0</v>
      </c>
      <c r="T36" s="40"/>
    </row>
    <row r="37" spans="1:26" x14ac:dyDescent="0.3">
      <c r="H37" s="42">
        <f t="shared" si="3"/>
        <v>2047</v>
      </c>
      <c r="I37" s="48">
        <f t="shared" si="2"/>
        <v>0.25127176382334038</v>
      </c>
      <c r="J37" s="177">
        <f t="shared" si="4"/>
        <v>0</v>
      </c>
      <c r="K37" s="177">
        <f t="shared" si="5"/>
        <v>0</v>
      </c>
      <c r="L37" s="178">
        <f t="shared" si="6"/>
        <v>0</v>
      </c>
      <c r="M37" s="176">
        <f t="shared" si="8"/>
        <v>0</v>
      </c>
      <c r="N37" s="177">
        <f t="shared" si="8"/>
        <v>0</v>
      </c>
      <c r="O37" s="178">
        <f t="shared" si="8"/>
        <v>0</v>
      </c>
      <c r="P37" s="176">
        <f t="shared" si="9"/>
        <v>0</v>
      </c>
      <c r="Q37" s="179">
        <f t="shared" si="9"/>
        <v>0</v>
      </c>
      <c r="R37" s="178">
        <f t="shared" si="9"/>
        <v>0</v>
      </c>
      <c r="S37" s="69">
        <f t="shared" si="1"/>
        <v>0</v>
      </c>
      <c r="T37" s="40"/>
    </row>
    <row r="38" spans="1:26" x14ac:dyDescent="0.3">
      <c r="H38" s="42">
        <f t="shared" si="3"/>
        <v>2048</v>
      </c>
      <c r="I38" s="48">
        <f t="shared" si="2"/>
        <v>0.26065630205201562</v>
      </c>
      <c r="J38" s="177">
        <f t="shared" si="4"/>
        <v>0</v>
      </c>
      <c r="K38" s="177">
        <f t="shared" si="5"/>
        <v>0</v>
      </c>
      <c r="L38" s="178">
        <f t="shared" si="6"/>
        <v>0</v>
      </c>
      <c r="M38" s="176">
        <f t="shared" si="8"/>
        <v>0</v>
      </c>
      <c r="N38" s="177">
        <f t="shared" si="8"/>
        <v>0</v>
      </c>
      <c r="O38" s="178">
        <f t="shared" si="8"/>
        <v>0</v>
      </c>
      <c r="P38" s="176">
        <f t="shared" si="9"/>
        <v>0</v>
      </c>
      <c r="Q38" s="179">
        <f t="shared" si="9"/>
        <v>0</v>
      </c>
      <c r="R38" s="178">
        <f t="shared" si="9"/>
        <v>0</v>
      </c>
      <c r="S38" s="70">
        <f t="shared" si="1"/>
        <v>0</v>
      </c>
      <c r="T38" s="40"/>
    </row>
    <row r="39" spans="1:26" x14ac:dyDescent="0.3">
      <c r="H39" s="42">
        <f t="shared" si="3"/>
        <v>2049</v>
      </c>
      <c r="I39" s="48">
        <f t="shared" si="2"/>
        <v>0.27011122431740553</v>
      </c>
      <c r="J39" s="177">
        <f t="shared" si="4"/>
        <v>0</v>
      </c>
      <c r="K39" s="177">
        <f t="shared" si="5"/>
        <v>0</v>
      </c>
      <c r="L39" s="178">
        <f t="shared" si="6"/>
        <v>0</v>
      </c>
      <c r="M39" s="176">
        <f t="shared" si="8"/>
        <v>0</v>
      </c>
      <c r="N39" s="177">
        <f t="shared" si="8"/>
        <v>0</v>
      </c>
      <c r="O39" s="178">
        <f t="shared" si="8"/>
        <v>0</v>
      </c>
      <c r="P39" s="176">
        <f t="shared" si="9"/>
        <v>0</v>
      </c>
      <c r="Q39" s="179">
        <f t="shared" si="9"/>
        <v>0</v>
      </c>
      <c r="R39" s="178">
        <f t="shared" si="9"/>
        <v>0</v>
      </c>
      <c r="S39" s="68">
        <f t="shared" si="1"/>
        <v>0</v>
      </c>
      <c r="T39" s="40"/>
    </row>
    <row r="40" spans="1:26" x14ac:dyDescent="0.3">
      <c r="A40" s="5"/>
      <c r="B40" s="5"/>
      <c r="C40" s="5"/>
      <c r="H40" s="42">
        <f t="shared" si="3"/>
        <v>2050</v>
      </c>
      <c r="I40" s="48">
        <f t="shared" si="2"/>
        <v>0.27963705849978604</v>
      </c>
      <c r="J40" s="177">
        <f t="shared" si="4"/>
        <v>0</v>
      </c>
      <c r="K40" s="177">
        <f t="shared" si="5"/>
        <v>0</v>
      </c>
      <c r="L40" s="178">
        <f t="shared" si="6"/>
        <v>0</v>
      </c>
      <c r="M40" s="176">
        <f t="shared" si="8"/>
        <v>0</v>
      </c>
      <c r="N40" s="177">
        <f t="shared" si="8"/>
        <v>0</v>
      </c>
      <c r="O40" s="178">
        <f t="shared" si="8"/>
        <v>0</v>
      </c>
      <c r="P40" s="176">
        <f t="shared" si="9"/>
        <v>0</v>
      </c>
      <c r="Q40" s="179">
        <f t="shared" si="9"/>
        <v>0</v>
      </c>
      <c r="R40" s="178">
        <f t="shared" si="9"/>
        <v>0</v>
      </c>
      <c r="S40" s="68">
        <f t="shared" si="1"/>
        <v>0</v>
      </c>
      <c r="T40" s="40"/>
    </row>
    <row r="41" spans="1:26" ht="15.75" customHeight="1" x14ac:dyDescent="0.4">
      <c r="A41" t="s">
        <v>56</v>
      </c>
      <c r="B41" s="8"/>
      <c r="C41" s="8"/>
      <c r="H41" s="42">
        <f t="shared" si="3"/>
        <v>2051</v>
      </c>
      <c r="I41" s="48">
        <f t="shared" si="2"/>
        <v>0.2892343364385348</v>
      </c>
      <c r="J41" s="177">
        <f t="shared" si="4"/>
        <v>0</v>
      </c>
      <c r="K41" s="177">
        <f t="shared" si="5"/>
        <v>0</v>
      </c>
      <c r="L41" s="178">
        <f t="shared" si="6"/>
        <v>0</v>
      </c>
      <c r="M41" s="176">
        <f t="shared" si="8"/>
        <v>0</v>
      </c>
      <c r="N41" s="177">
        <f t="shared" si="8"/>
        <v>0</v>
      </c>
      <c r="O41" s="178">
        <f t="shared" si="8"/>
        <v>0</v>
      </c>
      <c r="P41" s="176">
        <f t="shared" si="9"/>
        <v>0</v>
      </c>
      <c r="Q41" s="179">
        <f t="shared" si="9"/>
        <v>0</v>
      </c>
      <c r="R41" s="178">
        <f t="shared" si="9"/>
        <v>0</v>
      </c>
      <c r="S41" s="68">
        <f t="shared" si="1"/>
        <v>0</v>
      </c>
      <c r="T41" s="56"/>
      <c r="U41" s="56"/>
      <c r="V41" s="56"/>
      <c r="W41" s="56"/>
      <c r="X41" s="56"/>
      <c r="Y41" s="56"/>
      <c r="Z41" s="56"/>
    </row>
    <row r="42" spans="1:26" x14ac:dyDescent="0.3">
      <c r="A42" s="110" t="s">
        <v>28</v>
      </c>
      <c r="B42" s="189" t="s">
        <v>57</v>
      </c>
      <c r="C42" s="108">
        <v>7.4999999999999997E-3</v>
      </c>
      <c r="D42" t="s">
        <v>58</v>
      </c>
      <c r="H42" s="42">
        <f t="shared" si="3"/>
        <v>2052</v>
      </c>
      <c r="I42" s="48">
        <f t="shared" si="2"/>
        <v>0.29890359396182387</v>
      </c>
      <c r="J42" s="177">
        <f t="shared" si="4"/>
        <v>0</v>
      </c>
      <c r="K42" s="177">
        <f t="shared" si="5"/>
        <v>0</v>
      </c>
      <c r="L42" s="178">
        <f t="shared" si="6"/>
        <v>0</v>
      </c>
      <c r="M42" s="176">
        <f t="shared" si="8"/>
        <v>0</v>
      </c>
      <c r="N42" s="177">
        <f t="shared" si="8"/>
        <v>0</v>
      </c>
      <c r="O42" s="178">
        <f t="shared" si="8"/>
        <v>0</v>
      </c>
      <c r="P42" s="176">
        <f t="shared" si="9"/>
        <v>0</v>
      </c>
      <c r="Q42" s="179">
        <f t="shared" si="9"/>
        <v>0</v>
      </c>
      <c r="R42" s="178">
        <f t="shared" si="9"/>
        <v>0</v>
      </c>
      <c r="S42" s="68">
        <f t="shared" si="1"/>
        <v>0</v>
      </c>
      <c r="T42" s="56"/>
      <c r="U42" s="56"/>
      <c r="V42" s="56"/>
      <c r="W42" s="56"/>
      <c r="X42" s="56"/>
      <c r="Y42" s="56"/>
      <c r="Z42" s="56"/>
    </row>
    <row r="43" spans="1:26" x14ac:dyDescent="0.3">
      <c r="A43" s="110" t="s">
        <v>29</v>
      </c>
      <c r="B43" t="s">
        <v>59</v>
      </c>
      <c r="H43" s="42">
        <f t="shared" si="3"/>
        <v>2053</v>
      </c>
      <c r="I43" s="48">
        <f t="shared" si="2"/>
        <v>0.30864537091653754</v>
      </c>
      <c r="J43" s="177">
        <f t="shared" si="4"/>
        <v>0</v>
      </c>
      <c r="K43" s="177">
        <f t="shared" si="5"/>
        <v>0</v>
      </c>
      <c r="L43" s="178">
        <f t="shared" si="6"/>
        <v>0</v>
      </c>
      <c r="M43" s="176">
        <f t="shared" si="8"/>
        <v>0</v>
      </c>
      <c r="N43" s="177">
        <f t="shared" si="8"/>
        <v>0</v>
      </c>
      <c r="O43" s="178">
        <f t="shared" si="8"/>
        <v>0</v>
      </c>
      <c r="P43" s="176">
        <f t="shared" si="9"/>
        <v>0</v>
      </c>
      <c r="Q43" s="179">
        <f t="shared" si="9"/>
        <v>0</v>
      </c>
      <c r="R43" s="178">
        <f t="shared" si="9"/>
        <v>0</v>
      </c>
      <c r="S43" s="68">
        <f t="shared" si="1"/>
        <v>0</v>
      </c>
      <c r="T43" s="56"/>
      <c r="U43" s="56"/>
      <c r="V43" s="56"/>
      <c r="W43" s="56"/>
      <c r="X43" s="56"/>
      <c r="Y43" s="56"/>
      <c r="Z43" s="56"/>
    </row>
    <row r="44" spans="1:26" x14ac:dyDescent="0.3">
      <c r="B44" s="25"/>
      <c r="C44" s="25"/>
      <c r="H44" s="42">
        <f t="shared" si="3"/>
        <v>2054</v>
      </c>
      <c r="I44" s="48">
        <f t="shared" si="2"/>
        <v>0.31846021119841161</v>
      </c>
      <c r="J44" s="177">
        <f t="shared" si="4"/>
        <v>0</v>
      </c>
      <c r="K44" s="177">
        <f t="shared" si="5"/>
        <v>0</v>
      </c>
      <c r="L44" s="178">
        <f t="shared" si="6"/>
        <v>0</v>
      </c>
      <c r="M44" s="176">
        <f t="shared" si="8"/>
        <v>0</v>
      </c>
      <c r="N44" s="177">
        <f t="shared" si="8"/>
        <v>0</v>
      </c>
      <c r="O44" s="178">
        <f t="shared" si="8"/>
        <v>0</v>
      </c>
      <c r="P44" s="176">
        <f t="shared" ref="P44:R47" si="10">ABS(J44-M44)</f>
        <v>0</v>
      </c>
      <c r="Q44" s="179">
        <f t="shared" si="10"/>
        <v>0</v>
      </c>
      <c r="R44" s="178">
        <f t="shared" si="10"/>
        <v>0</v>
      </c>
      <c r="S44" s="68">
        <f t="shared" si="1"/>
        <v>0</v>
      </c>
      <c r="T44" s="40"/>
    </row>
    <row r="45" spans="1:26" ht="15" customHeight="1" x14ac:dyDescent="0.3">
      <c r="A45" s="25"/>
      <c r="B45" s="25"/>
      <c r="C45" s="25"/>
      <c r="H45" s="42">
        <f t="shared" si="3"/>
        <v>2055</v>
      </c>
      <c r="I45" s="48">
        <f t="shared" si="2"/>
        <v>0.32834866278239994</v>
      </c>
      <c r="J45" s="177">
        <f t="shared" si="4"/>
        <v>0</v>
      </c>
      <c r="K45" s="177">
        <f t="shared" si="5"/>
        <v>0</v>
      </c>
      <c r="L45" s="178">
        <f t="shared" si="6"/>
        <v>0</v>
      </c>
      <c r="M45" s="176">
        <f t="shared" si="8"/>
        <v>0</v>
      </c>
      <c r="N45" s="177">
        <f t="shared" si="8"/>
        <v>0</v>
      </c>
      <c r="O45" s="178">
        <f t="shared" si="8"/>
        <v>0</v>
      </c>
      <c r="P45" s="176">
        <f t="shared" si="10"/>
        <v>0</v>
      </c>
      <c r="Q45" s="179">
        <f t="shared" si="10"/>
        <v>0</v>
      </c>
      <c r="R45" s="178">
        <f t="shared" si="10"/>
        <v>0</v>
      </c>
      <c r="S45" s="68">
        <f t="shared" si="1"/>
        <v>0</v>
      </c>
      <c r="T45" s="40"/>
    </row>
    <row r="46" spans="1:26" x14ac:dyDescent="0.3">
      <c r="B46" s="25"/>
      <c r="C46" s="25"/>
      <c r="H46" s="42">
        <f t="shared" si="3"/>
        <v>2056</v>
      </c>
      <c r="I46" s="48">
        <f t="shared" si="2"/>
        <v>0.33831127775326819</v>
      </c>
      <c r="J46" s="177">
        <f t="shared" si="4"/>
        <v>0</v>
      </c>
      <c r="K46" s="177">
        <f t="shared" si="5"/>
        <v>0</v>
      </c>
      <c r="L46" s="178">
        <f t="shared" si="6"/>
        <v>0</v>
      </c>
      <c r="M46" s="176">
        <f t="shared" si="8"/>
        <v>0</v>
      </c>
      <c r="N46" s="177">
        <f t="shared" si="8"/>
        <v>0</v>
      </c>
      <c r="O46" s="178">
        <f t="shared" si="8"/>
        <v>0</v>
      </c>
      <c r="P46" s="176">
        <f t="shared" si="10"/>
        <v>0</v>
      </c>
      <c r="Q46" s="179">
        <f t="shared" si="10"/>
        <v>0</v>
      </c>
      <c r="R46" s="178">
        <f t="shared" si="10"/>
        <v>0</v>
      </c>
      <c r="S46" s="68">
        <f t="shared" si="1"/>
        <v>0</v>
      </c>
      <c r="T46" s="40"/>
    </row>
    <row r="47" spans="1:26" ht="15" thickBot="1" x14ac:dyDescent="0.35">
      <c r="A47" s="25"/>
      <c r="B47" s="25"/>
      <c r="C47" s="25"/>
      <c r="H47" s="43">
        <f t="shared" si="3"/>
        <v>2057</v>
      </c>
      <c r="I47" s="245">
        <f t="shared" si="2"/>
        <v>0.34834861233641767</v>
      </c>
      <c r="J47" s="246">
        <f t="shared" si="4"/>
        <v>0</v>
      </c>
      <c r="K47" s="246">
        <f t="shared" si="5"/>
        <v>0</v>
      </c>
      <c r="L47" s="247">
        <f t="shared" si="6"/>
        <v>0</v>
      </c>
      <c r="M47" s="248">
        <f t="shared" si="8"/>
        <v>0</v>
      </c>
      <c r="N47" s="246">
        <f t="shared" si="8"/>
        <v>0</v>
      </c>
      <c r="O47" s="247">
        <f t="shared" si="8"/>
        <v>0</v>
      </c>
      <c r="P47" s="248">
        <f t="shared" si="10"/>
        <v>0</v>
      </c>
      <c r="Q47" s="249">
        <f t="shared" si="10"/>
        <v>0</v>
      </c>
      <c r="R47" s="247">
        <f t="shared" si="10"/>
        <v>0</v>
      </c>
      <c r="S47" s="57">
        <f t="shared" si="1"/>
        <v>0</v>
      </c>
      <c r="T47" s="40"/>
    </row>
    <row r="48" spans="1:26" ht="15" thickBot="1" x14ac:dyDescent="0.35">
      <c r="A48" s="25"/>
      <c r="B48" s="25"/>
      <c r="C48" s="25"/>
      <c r="H48" s="59"/>
      <c r="I48" s="60"/>
      <c r="J48" s="59"/>
      <c r="K48" s="61"/>
      <c r="L48" s="61"/>
      <c r="M48" s="61"/>
      <c r="N48" s="61"/>
      <c r="O48" s="61"/>
      <c r="R48" s="58" t="s">
        <v>10</v>
      </c>
      <c r="S48" s="57">
        <f>SUM(S7:S43)</f>
        <v>0</v>
      </c>
      <c r="T48" s="40"/>
    </row>
    <row r="49" spans="1:20" x14ac:dyDescent="0.3">
      <c r="B49" s="25"/>
      <c r="C49" s="25"/>
      <c r="H49" s="59"/>
      <c r="I49" s="60"/>
      <c r="J49" s="59"/>
      <c r="K49" s="61"/>
      <c r="L49" s="61"/>
      <c r="M49" s="61"/>
      <c r="N49" s="61"/>
      <c r="O49" s="61"/>
      <c r="T49" s="40"/>
    </row>
    <row r="50" spans="1:20" x14ac:dyDescent="0.3">
      <c r="A50" s="25"/>
      <c r="B50" s="25"/>
      <c r="C50" s="25"/>
      <c r="T50" s="40"/>
    </row>
    <row r="51" spans="1:20" x14ac:dyDescent="0.3">
      <c r="B51" s="25"/>
      <c r="C51" s="25"/>
      <c r="T51" s="40"/>
    </row>
    <row r="52" spans="1:20" x14ac:dyDescent="0.3">
      <c r="A52" s="25"/>
      <c r="B52" s="25"/>
      <c r="C52" s="25"/>
      <c r="H52" s="59"/>
      <c r="I52" s="60"/>
      <c r="J52" s="59"/>
      <c r="K52" s="61"/>
      <c r="L52" s="61"/>
      <c r="M52" s="61"/>
      <c r="N52" s="61"/>
      <c r="O52" s="61"/>
      <c r="T52" s="40"/>
    </row>
    <row r="53" spans="1:20" x14ac:dyDescent="0.3">
      <c r="B53" s="25"/>
      <c r="C53" s="25"/>
      <c r="H53" s="59"/>
      <c r="I53" s="60"/>
      <c r="J53" s="59"/>
      <c r="K53" s="61"/>
      <c r="L53" s="61"/>
      <c r="M53" s="61"/>
      <c r="N53" s="61"/>
      <c r="O53" s="61"/>
      <c r="T53" s="40"/>
    </row>
    <row r="54" spans="1:20" x14ac:dyDescent="0.3">
      <c r="A54" s="25"/>
      <c r="B54" s="25"/>
      <c r="C54" s="25"/>
      <c r="J54" s="61"/>
      <c r="K54" s="61"/>
      <c r="L54" s="61"/>
      <c r="M54" s="61"/>
      <c r="N54" s="61"/>
      <c r="O54" s="61"/>
      <c r="T54" s="40"/>
    </row>
    <row r="55" spans="1:20" x14ac:dyDescent="0.3">
      <c r="B55" s="25"/>
      <c r="C55" s="25"/>
      <c r="J55" s="59"/>
      <c r="K55" s="61"/>
      <c r="L55" s="61"/>
      <c r="M55" s="61"/>
      <c r="N55" s="61"/>
      <c r="O55" s="61"/>
      <c r="T55" s="40"/>
    </row>
    <row r="56" spans="1:20" x14ac:dyDescent="0.3">
      <c r="A56" s="25"/>
      <c r="B56" s="25"/>
      <c r="C56" s="25"/>
      <c r="J56" s="59"/>
      <c r="K56" s="61"/>
      <c r="L56" s="61"/>
      <c r="M56" s="61"/>
      <c r="N56" s="61"/>
      <c r="O56" s="61"/>
      <c r="T56" s="40"/>
    </row>
    <row r="57" spans="1:20" x14ac:dyDescent="0.3">
      <c r="A57" s="25"/>
      <c r="B57" s="25"/>
      <c r="C57" s="25"/>
      <c r="J57" s="59"/>
      <c r="K57" s="61"/>
      <c r="L57" s="61"/>
      <c r="M57" s="61"/>
      <c r="N57" s="61"/>
      <c r="O57" s="61"/>
      <c r="T57" s="40"/>
    </row>
    <row r="58" spans="1:20" x14ac:dyDescent="0.3">
      <c r="B58" s="25"/>
      <c r="C58" s="25"/>
      <c r="J58" s="59"/>
      <c r="K58" s="61"/>
      <c r="L58" s="61"/>
      <c r="M58" s="61"/>
      <c r="N58" s="61"/>
      <c r="O58" s="61"/>
      <c r="T58" s="40"/>
    </row>
    <row r="59" spans="1:20" x14ac:dyDescent="0.3">
      <c r="A59" s="25"/>
      <c r="B59" s="25"/>
      <c r="C59" s="25"/>
      <c r="J59" s="59"/>
      <c r="K59" s="61"/>
      <c r="L59" s="61"/>
      <c r="M59" s="61"/>
      <c r="N59" s="61"/>
      <c r="O59" s="61"/>
      <c r="T59" s="40"/>
    </row>
    <row r="60" spans="1:20" x14ac:dyDescent="0.3">
      <c r="B60" s="25"/>
      <c r="C60" s="25"/>
      <c r="J60" s="59"/>
      <c r="K60" s="61"/>
      <c r="L60" s="61"/>
      <c r="M60" s="61"/>
      <c r="N60" s="61"/>
      <c r="O60" s="61"/>
      <c r="T60" s="40"/>
    </row>
    <row r="61" spans="1:20" x14ac:dyDescent="0.3">
      <c r="A61" s="25"/>
      <c r="B61" s="25"/>
      <c r="C61" s="25"/>
      <c r="H61" s="59"/>
      <c r="I61" s="60"/>
      <c r="J61" s="59"/>
      <c r="K61" s="61"/>
      <c r="L61" s="61"/>
      <c r="M61" s="61"/>
      <c r="N61" s="61"/>
      <c r="O61" s="61"/>
      <c r="T61" s="40"/>
    </row>
    <row r="62" spans="1:20" x14ac:dyDescent="0.3">
      <c r="B62" s="25"/>
      <c r="C62" s="25"/>
      <c r="H62" s="59"/>
      <c r="I62" s="62"/>
      <c r="J62" s="63"/>
      <c r="K62" s="63"/>
      <c r="L62" s="61"/>
      <c r="M62" s="61"/>
      <c r="N62" s="61"/>
      <c r="O62" s="61"/>
      <c r="P62" s="56"/>
      <c r="Q62" s="40"/>
      <c r="R62" s="40"/>
      <c r="S62" s="40"/>
      <c r="T62" s="40"/>
    </row>
    <row r="63" spans="1:20" ht="15" customHeight="1" x14ac:dyDescent="0.3">
      <c r="A63" s="25"/>
      <c r="B63" s="25"/>
      <c r="C63" s="25"/>
      <c r="H63" s="59"/>
      <c r="I63" s="62"/>
      <c r="J63" s="59"/>
      <c r="K63" s="63"/>
      <c r="L63" s="61"/>
      <c r="M63" s="61"/>
      <c r="N63" s="61"/>
      <c r="O63" s="61"/>
      <c r="P63" s="64"/>
      <c r="T63" s="40"/>
    </row>
    <row r="64" spans="1:20" x14ac:dyDescent="0.3">
      <c r="B64" s="25"/>
      <c r="C64" s="25"/>
      <c r="H64" s="59"/>
      <c r="I64" s="62"/>
      <c r="J64" s="59"/>
      <c r="K64" s="63"/>
      <c r="L64" s="61"/>
      <c r="M64" s="61"/>
      <c r="N64" s="61"/>
      <c r="O64" s="61"/>
      <c r="T64" s="40"/>
    </row>
    <row r="65" spans="8:19" x14ac:dyDescent="0.3">
      <c r="H65" s="59"/>
      <c r="I65" s="62"/>
      <c r="J65" s="59"/>
      <c r="K65" s="63"/>
      <c r="L65" s="61"/>
      <c r="M65" s="61"/>
      <c r="N65" s="61"/>
      <c r="O65" s="61"/>
    </row>
    <row r="66" spans="8:19" x14ac:dyDescent="0.3">
      <c r="H66" s="59"/>
      <c r="I66" s="62"/>
      <c r="J66" s="59"/>
      <c r="K66" s="63"/>
      <c r="L66" s="61"/>
      <c r="M66" s="61"/>
      <c r="N66" s="61"/>
      <c r="O66" s="61"/>
    </row>
    <row r="67" spans="8:19" x14ac:dyDescent="0.3">
      <c r="H67" s="59"/>
      <c r="I67" s="62"/>
      <c r="J67" s="59"/>
      <c r="K67" s="63"/>
      <c r="L67" s="61"/>
      <c r="M67" s="61"/>
      <c r="N67" s="61"/>
      <c r="O67" s="61"/>
    </row>
    <row r="68" spans="8:19" x14ac:dyDescent="0.3">
      <c r="H68" s="59"/>
      <c r="I68" s="62"/>
      <c r="J68" s="59"/>
      <c r="K68" s="63"/>
      <c r="L68" s="61"/>
      <c r="M68" s="61"/>
      <c r="N68" s="61"/>
      <c r="O68" s="61"/>
    </row>
    <row r="69" spans="8:19" x14ac:dyDescent="0.3">
      <c r="H69" s="59"/>
      <c r="I69" s="62"/>
      <c r="J69" s="59"/>
      <c r="K69" s="63"/>
      <c r="L69" s="61"/>
      <c r="M69" s="61"/>
      <c r="N69" s="61"/>
      <c r="O69" s="61"/>
    </row>
    <row r="70" spans="8:19" x14ac:dyDescent="0.3">
      <c r="H70" s="59"/>
      <c r="I70" s="62"/>
      <c r="J70" s="59"/>
      <c r="K70" s="63"/>
      <c r="L70" s="61"/>
      <c r="M70" s="61"/>
      <c r="N70" s="61"/>
      <c r="O70" s="61"/>
    </row>
    <row r="71" spans="8:19" x14ac:dyDescent="0.3">
      <c r="H71" s="59"/>
      <c r="I71" s="62"/>
      <c r="J71" s="59"/>
      <c r="K71" s="63"/>
      <c r="L71" s="61"/>
      <c r="M71" s="61"/>
      <c r="N71" s="61"/>
      <c r="O71" s="61"/>
    </row>
    <row r="72" spans="8:19" x14ac:dyDescent="0.3">
      <c r="H72" s="59"/>
      <c r="I72" s="62"/>
      <c r="J72" s="59"/>
      <c r="K72" s="63"/>
      <c r="L72" s="61"/>
      <c r="M72" s="61"/>
      <c r="N72" s="61"/>
      <c r="O72" s="61"/>
      <c r="P72" s="40"/>
      <c r="Q72" s="40"/>
      <c r="R72" s="40"/>
      <c r="S72" s="40"/>
    </row>
    <row r="73" spans="8:19" x14ac:dyDescent="0.3">
      <c r="H73" s="59"/>
      <c r="I73" s="62"/>
      <c r="J73" s="59"/>
      <c r="K73" s="63"/>
      <c r="L73" s="61"/>
      <c r="M73" s="61"/>
      <c r="N73" s="61"/>
      <c r="O73" s="61"/>
      <c r="P73" s="40"/>
      <c r="Q73" s="40"/>
      <c r="R73" s="40"/>
      <c r="S73" s="40"/>
    </row>
    <row r="74" spans="8:19" x14ac:dyDescent="0.3">
      <c r="H74" s="59"/>
      <c r="I74" s="62"/>
      <c r="J74" s="59"/>
      <c r="K74" s="63"/>
      <c r="L74" s="61"/>
      <c r="M74" s="61"/>
      <c r="N74" s="61"/>
      <c r="O74" s="61"/>
      <c r="P74" s="40"/>
      <c r="Q74" s="40"/>
      <c r="R74" s="40"/>
      <c r="S74" s="40"/>
    </row>
    <row r="75" spans="8:19" x14ac:dyDescent="0.3">
      <c r="H75" s="59"/>
      <c r="I75" s="62"/>
      <c r="J75" s="59"/>
      <c r="K75" s="63"/>
      <c r="L75" s="61"/>
      <c r="M75" s="61"/>
      <c r="N75" s="61"/>
      <c r="O75" s="61"/>
      <c r="P75" s="40"/>
      <c r="Q75" s="40"/>
      <c r="R75" s="40"/>
      <c r="S75" s="40"/>
    </row>
    <row r="76" spans="8:19" x14ac:dyDescent="0.3">
      <c r="H76" s="59"/>
      <c r="I76" s="62"/>
      <c r="J76" s="59"/>
      <c r="K76" s="63"/>
      <c r="L76" s="61"/>
      <c r="M76" s="61"/>
      <c r="N76" s="61"/>
      <c r="O76" s="61"/>
      <c r="P76" s="40"/>
      <c r="Q76" s="40"/>
      <c r="R76" s="40"/>
      <c r="S76" s="40"/>
    </row>
    <row r="77" spans="8:19" x14ac:dyDescent="0.3">
      <c r="H77" s="65"/>
      <c r="P77" s="40"/>
      <c r="Q77" s="40"/>
      <c r="R77" s="40"/>
      <c r="S77" s="40"/>
    </row>
    <row r="78" spans="8:19" x14ac:dyDescent="0.3">
      <c r="P78" s="40"/>
      <c r="Q78" s="40"/>
      <c r="R78" s="40"/>
      <c r="S78" s="40"/>
    </row>
  </sheetData>
  <mergeCells count="21">
    <mergeCell ref="A26:F26"/>
    <mergeCell ref="N5:N6"/>
    <mergeCell ref="A14:B15"/>
    <mergeCell ref="C14:C15"/>
    <mergeCell ref="A22:C22"/>
    <mergeCell ref="A23:B23"/>
    <mergeCell ref="A24:F25"/>
    <mergeCell ref="H4:L4"/>
    <mergeCell ref="M4:O4"/>
    <mergeCell ref="P4:R4"/>
    <mergeCell ref="S4:S6"/>
    <mergeCell ref="H5:H6"/>
    <mergeCell ref="I5:I6"/>
    <mergeCell ref="J5:J6"/>
    <mergeCell ref="K5:K6"/>
    <mergeCell ref="L5:L6"/>
    <mergeCell ref="M5:M6"/>
    <mergeCell ref="O5:O6"/>
    <mergeCell ref="P5:P6"/>
    <mergeCell ref="Q5:Q6"/>
    <mergeCell ref="R5:R6"/>
  </mergeCells>
  <pageMargins left="0.35" right="0.2" top="0.75" bottom="0.75" header="0.3" footer="0.3"/>
  <pageSetup paperSize="133" scale="5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2F5F-24CB-45EC-901E-1AAACDEFFEE6}">
  <sheetPr>
    <tabColor rgb="FFFFFF00"/>
    <pageSetUpPr fitToPage="1"/>
  </sheetPr>
  <dimension ref="A1:AE82"/>
  <sheetViews>
    <sheetView view="pageBreakPreview" zoomScale="70" zoomScaleNormal="55" zoomScaleSheetLayoutView="70" workbookViewId="0">
      <selection activeCell="A2" sqref="A2:P2"/>
    </sheetView>
  </sheetViews>
  <sheetFormatPr defaultRowHeight="14.4" x14ac:dyDescent="0.3"/>
  <cols>
    <col min="1" max="1" width="13.88671875" customWidth="1"/>
    <col min="2" max="2" width="14.5546875" customWidth="1"/>
    <col min="3" max="3" width="14.44140625" customWidth="1"/>
    <col min="4" max="4" width="11.88671875" customWidth="1"/>
    <col min="5" max="5" width="14" customWidth="1"/>
    <col min="9" max="9" width="28.6640625" hidden="1" customWidth="1"/>
    <col min="10" max="15" width="14.6640625" customWidth="1"/>
    <col min="16" max="18" width="14.33203125" customWidth="1"/>
    <col min="19" max="19" width="19" customWidth="1"/>
    <col min="20" max="20" width="15" customWidth="1"/>
    <col min="21" max="21" width="16.109375" customWidth="1"/>
    <col min="22" max="22" width="16.88671875" customWidth="1"/>
    <col min="23" max="23" width="15" customWidth="1"/>
    <col min="24" max="24" width="34.5546875" customWidth="1"/>
  </cols>
  <sheetData>
    <row r="1" spans="1:31" s="209" customFormat="1" ht="5.4" customHeight="1" x14ac:dyDescent="0.25">
      <c r="A1" s="232"/>
      <c r="B1" s="230"/>
      <c r="C1" s="230"/>
      <c r="D1" s="230"/>
      <c r="E1" s="232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10"/>
    </row>
    <row r="2" spans="1:31" s="209" customFormat="1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226" t="s">
        <v>118</v>
      </c>
      <c r="N2" s="546" t="s">
        <v>249</v>
      </c>
      <c r="O2" s="546"/>
      <c r="P2" s="546"/>
      <c r="Q2" s="344"/>
      <c r="R2" s="210"/>
    </row>
    <row r="3" spans="1:31" s="209" customFormat="1" ht="14.25" customHeight="1" x14ac:dyDescent="0.3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226" t="s">
        <v>116</v>
      </c>
      <c r="N3" s="341">
        <f ca="1">_xlfn.SHEET()-1</f>
        <v>11</v>
      </c>
      <c r="O3" s="345" t="s">
        <v>115</v>
      </c>
      <c r="P3" s="341">
        <f ca="1">_xlfn.SHEETS()-2</f>
        <v>10</v>
      </c>
      <c r="Q3" s="344"/>
      <c r="R3" s="210"/>
    </row>
    <row r="4" spans="1:31" s="209" customFormat="1" ht="14.25" customHeight="1" x14ac:dyDescent="0.3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226" t="s">
        <v>113</v>
      </c>
      <c r="N4" s="341"/>
      <c r="O4" s="346" t="s">
        <v>111</v>
      </c>
      <c r="P4" s="343"/>
      <c r="Q4" s="344"/>
      <c r="R4" s="210"/>
    </row>
    <row r="5" spans="1:31" s="209" customFormat="1" ht="14.25" customHeight="1" x14ac:dyDescent="0.3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226" t="s">
        <v>112</v>
      </c>
      <c r="N5" s="341"/>
      <c r="O5" s="346" t="s">
        <v>111</v>
      </c>
      <c r="P5" s="342"/>
      <c r="Q5" s="344"/>
      <c r="R5" s="210"/>
    </row>
    <row r="6" spans="1:31" s="209" customFormat="1" ht="14.25" customHeight="1" x14ac:dyDescent="0.3">
      <c r="A6" s="210"/>
      <c r="C6" s="227"/>
      <c r="E6" s="225"/>
      <c r="F6" s="225"/>
      <c r="G6" s="344"/>
      <c r="H6" s="344"/>
      <c r="I6" s="344"/>
      <c r="J6" s="344"/>
      <c r="K6" s="344"/>
      <c r="L6" s="344"/>
      <c r="M6" s="226" t="s">
        <v>110</v>
      </c>
      <c r="N6" s="341"/>
      <c r="O6" s="346" t="s">
        <v>109</v>
      </c>
      <c r="P6" s="341" t="s">
        <v>158</v>
      </c>
      <c r="Q6" s="344"/>
      <c r="R6" s="210"/>
    </row>
    <row r="7" spans="1:31" s="209" customFormat="1" ht="4.5" customHeigh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P7" s="223"/>
      <c r="Q7" s="344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10"/>
    </row>
    <row r="8" spans="1:31" ht="15.6" x14ac:dyDescent="0.3">
      <c r="A8" s="7" t="s">
        <v>150</v>
      </c>
    </row>
    <row r="9" spans="1:31" ht="15.6" x14ac:dyDescent="0.3">
      <c r="A9" s="7" t="s">
        <v>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31" ht="15" thickBot="1" x14ac:dyDescent="0.35">
      <c r="C10" s="114"/>
      <c r="D10" s="3"/>
      <c r="E10" s="3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31" ht="15" thickBot="1" x14ac:dyDescent="0.35">
      <c r="A11" s="6" t="s">
        <v>5</v>
      </c>
      <c r="B11" s="32" t="s">
        <v>146</v>
      </c>
      <c r="C11" s="33"/>
      <c r="H11" s="576" t="s">
        <v>61</v>
      </c>
      <c r="I11" s="577"/>
      <c r="J11" s="577"/>
      <c r="K11" s="577"/>
      <c r="L11" s="578"/>
      <c r="M11" s="576" t="s">
        <v>62</v>
      </c>
      <c r="N11" s="577"/>
      <c r="O11" s="578"/>
      <c r="P11" s="576" t="s">
        <v>63</v>
      </c>
      <c r="Q11" s="577"/>
      <c r="R11" s="578"/>
      <c r="S11" s="579" t="s">
        <v>177</v>
      </c>
      <c r="T11" s="40"/>
    </row>
    <row r="12" spans="1:31" ht="16.2" x14ac:dyDescent="0.3">
      <c r="A12" s="34" t="s">
        <v>88</v>
      </c>
      <c r="B12" s="35">
        <v>4600</v>
      </c>
      <c r="C12" s="2"/>
      <c r="H12" s="582" t="s">
        <v>4</v>
      </c>
      <c r="I12" s="584" t="s">
        <v>60</v>
      </c>
      <c r="J12" s="586" t="s">
        <v>12</v>
      </c>
      <c r="K12" s="586" t="s">
        <v>13</v>
      </c>
      <c r="L12" s="588" t="s">
        <v>27</v>
      </c>
      <c r="M12" s="590" t="s">
        <v>12</v>
      </c>
      <c r="N12" s="595" t="s">
        <v>13</v>
      </c>
      <c r="O12" s="592" t="s">
        <v>27</v>
      </c>
      <c r="P12" s="582" t="s">
        <v>12</v>
      </c>
      <c r="Q12" s="586" t="s">
        <v>13</v>
      </c>
      <c r="R12" s="588" t="s">
        <v>14</v>
      </c>
      <c r="S12" s="580"/>
      <c r="T12" s="40"/>
    </row>
    <row r="13" spans="1:31" ht="16.8" thickBot="1" x14ac:dyDescent="0.35">
      <c r="A13" s="36" t="s">
        <v>89</v>
      </c>
      <c r="B13" s="37">
        <v>151000</v>
      </c>
      <c r="C13" s="2"/>
      <c r="H13" s="600"/>
      <c r="I13" s="601"/>
      <c r="J13" s="602"/>
      <c r="K13" s="602"/>
      <c r="L13" s="603"/>
      <c r="M13" s="591"/>
      <c r="N13" s="596"/>
      <c r="O13" s="593"/>
      <c r="P13" s="583"/>
      <c r="Q13" s="587"/>
      <c r="R13" s="589"/>
      <c r="S13" s="581"/>
      <c r="T13" s="40"/>
    </row>
    <row r="14" spans="1:31" ht="16.8" thickBot="1" x14ac:dyDescent="0.35">
      <c r="A14" s="38" t="s">
        <v>90</v>
      </c>
      <c r="B14" s="39">
        <v>11600000</v>
      </c>
      <c r="C14" s="2"/>
      <c r="H14" s="42">
        <f t="shared" ref="H14:H15" si="0">H15-1</f>
        <v>2022</v>
      </c>
      <c r="I14" s="48" t="e">
        <f>((1+$C$49)^(H14-#REF!))-1</f>
        <v>#REF!</v>
      </c>
      <c r="J14" s="177">
        <f>C$24</f>
        <v>0</v>
      </c>
      <c r="K14" s="177">
        <f t="shared" ref="K14:K15" si="1">C$25</f>
        <v>0</v>
      </c>
      <c r="L14" s="178">
        <f t="shared" ref="L14:L15" si="2">C$26</f>
        <v>0</v>
      </c>
      <c r="M14" s="179">
        <f>ROUNDUP(J14*$B$48,2)</f>
        <v>0</v>
      </c>
      <c r="N14" s="177">
        <f>ROUNDUP(K14*$B$48,2)</f>
        <v>0</v>
      </c>
      <c r="O14" s="178">
        <f>ROUNDUP(L14*$B$48,2)</f>
        <v>0</v>
      </c>
      <c r="P14" s="42"/>
      <c r="Q14" s="47"/>
      <c r="R14" s="49"/>
      <c r="S14" s="68">
        <f t="shared" ref="S14:S15" si="3">((P14*$B$12)+(Q14*$B$13)+(R14*$B$14))</f>
        <v>0</v>
      </c>
      <c r="T14" s="40"/>
    </row>
    <row r="15" spans="1:31" x14ac:dyDescent="0.3">
      <c r="B15" s="2"/>
      <c r="C15" s="2"/>
      <c r="H15" s="42">
        <f t="shared" si="0"/>
        <v>2023</v>
      </c>
      <c r="I15" s="48" t="e">
        <f>((1+$C$49)^(H15-#REF!))-1</f>
        <v>#REF!</v>
      </c>
      <c r="J15" s="177">
        <f t="shared" ref="J15" si="4">C$24</f>
        <v>0</v>
      </c>
      <c r="K15" s="177">
        <f t="shared" si="1"/>
        <v>0</v>
      </c>
      <c r="L15" s="178">
        <f t="shared" si="2"/>
        <v>0</v>
      </c>
      <c r="M15" s="179">
        <f t="shared" ref="M15" si="5">ROUNDUP(J15*$B$48,2)</f>
        <v>0</v>
      </c>
      <c r="N15" s="177">
        <f t="shared" ref="N15" si="6">ROUNDUP(K15*$B$48,2)</f>
        <v>0</v>
      </c>
      <c r="O15" s="178">
        <f t="shared" ref="O15" si="7">ROUNDUP(L15*$B$48,2)</f>
        <v>0</v>
      </c>
      <c r="P15" s="42"/>
      <c r="Q15" s="47"/>
      <c r="R15" s="49"/>
      <c r="S15" s="68">
        <f t="shared" si="3"/>
        <v>0</v>
      </c>
      <c r="T15" s="40"/>
    </row>
    <row r="16" spans="1:31" x14ac:dyDescent="0.3">
      <c r="A16" s="17" t="s">
        <v>93</v>
      </c>
      <c r="B16" s="17"/>
      <c r="H16" s="42">
        <f t="shared" ref="H16:H17" si="8">H17-1</f>
        <v>2024</v>
      </c>
      <c r="I16" s="48" t="e">
        <f>((1+$C$49)^(H16-#REF!))-1</f>
        <v>#REF!</v>
      </c>
      <c r="J16" s="177">
        <f t="shared" ref="J16:J18" si="9">C$24</f>
        <v>0</v>
      </c>
      <c r="K16" s="177">
        <f t="shared" ref="K16:K18" si="10">C$25</f>
        <v>0</v>
      </c>
      <c r="L16" s="178">
        <f t="shared" ref="L16:L18" si="11">C$26</f>
        <v>0</v>
      </c>
      <c r="M16" s="179">
        <f>ROUNDUP(J16*$B$48,2)</f>
        <v>0</v>
      </c>
      <c r="N16" s="177">
        <f>ROUNDUP(K16*$B$48,2)</f>
        <v>0</v>
      </c>
      <c r="O16" s="178">
        <f>ROUNDUP(L16*$B$48,2)</f>
        <v>0</v>
      </c>
      <c r="P16" s="42"/>
      <c r="Q16" s="47"/>
      <c r="R16" s="49"/>
      <c r="S16" s="68">
        <f t="shared" ref="S16:S18" si="12">((P16*$B$12)+(Q16*$B$13)+(R16*$B$14))</f>
        <v>0</v>
      </c>
      <c r="T16" s="40"/>
    </row>
    <row r="17" spans="1:20" x14ac:dyDescent="0.3">
      <c r="A17" s="188" t="s">
        <v>28</v>
      </c>
      <c r="B17" s="17" t="s">
        <v>92</v>
      </c>
      <c r="H17" s="42">
        <f t="shared" si="8"/>
        <v>2025</v>
      </c>
      <c r="I17" s="48" t="e">
        <f>((1+$C$49)^(H17-#REF!))-1</f>
        <v>#REF!</v>
      </c>
      <c r="J17" s="177">
        <f t="shared" si="9"/>
        <v>0</v>
      </c>
      <c r="K17" s="177">
        <f t="shared" si="10"/>
        <v>0</v>
      </c>
      <c r="L17" s="178">
        <f t="shared" si="11"/>
        <v>0</v>
      </c>
      <c r="M17" s="179">
        <f t="shared" ref="M17:M18" si="13">ROUNDUP(J17*$B$48,2)</f>
        <v>0</v>
      </c>
      <c r="N17" s="177">
        <f t="shared" ref="N17:N18" si="14">ROUNDUP(K17*$B$48,2)</f>
        <v>0</v>
      </c>
      <c r="O17" s="178">
        <f t="shared" ref="O17:O18" si="15">ROUNDUP(L17*$B$48,2)</f>
        <v>0</v>
      </c>
      <c r="P17" s="42"/>
      <c r="Q17" s="47"/>
      <c r="R17" s="49"/>
      <c r="S17" s="68">
        <f t="shared" si="12"/>
        <v>0</v>
      </c>
      <c r="T17" s="40"/>
    </row>
    <row r="18" spans="1:20" x14ac:dyDescent="0.3">
      <c r="A18" s="188" t="s">
        <v>29</v>
      </c>
      <c r="B18" s="17" t="s">
        <v>187</v>
      </c>
      <c r="H18" s="42">
        <f>H19-1</f>
        <v>2026</v>
      </c>
      <c r="I18" s="48" t="e">
        <f>((1+$C$49)^(H18-#REF!))-1</f>
        <v>#REF!</v>
      </c>
      <c r="J18" s="177">
        <f t="shared" si="9"/>
        <v>0</v>
      </c>
      <c r="K18" s="177">
        <f t="shared" si="10"/>
        <v>0</v>
      </c>
      <c r="L18" s="178">
        <f t="shared" si="11"/>
        <v>0</v>
      </c>
      <c r="M18" s="179">
        <f t="shared" si="13"/>
        <v>0</v>
      </c>
      <c r="N18" s="177">
        <f t="shared" si="14"/>
        <v>0</v>
      </c>
      <c r="O18" s="178">
        <f t="shared" si="15"/>
        <v>0</v>
      </c>
      <c r="P18" s="42"/>
      <c r="Q18" s="47"/>
      <c r="R18" s="49"/>
      <c r="S18" s="68">
        <f t="shared" si="12"/>
        <v>0</v>
      </c>
      <c r="T18" s="40"/>
    </row>
    <row r="19" spans="1:20" ht="15" customHeight="1" x14ac:dyDescent="0.3">
      <c r="A19" s="188" t="s">
        <v>30</v>
      </c>
      <c r="B19" s="17" t="s">
        <v>95</v>
      </c>
      <c r="H19" s="42">
        <v>2027</v>
      </c>
      <c r="I19" s="48" t="e">
        <f>((1+$C$49)^(H19-#REF!))-1</f>
        <v>#REF!</v>
      </c>
      <c r="J19" s="177">
        <f t="shared" ref="J19:J51" si="16">C$24</f>
        <v>0</v>
      </c>
      <c r="K19" s="177">
        <f t="shared" ref="K19:K51" si="17">C$25</f>
        <v>0</v>
      </c>
      <c r="L19" s="178">
        <f t="shared" ref="L19:L51" si="18">C$26</f>
        <v>0</v>
      </c>
      <c r="M19" s="179">
        <f>ROUNDUP(J19*$B$48,2)</f>
        <v>0</v>
      </c>
      <c r="N19" s="177">
        <f>ROUNDUP(K19*$B$48,2)</f>
        <v>0</v>
      </c>
      <c r="O19" s="178">
        <f>ROUNDUP(L19*$B$48,2)</f>
        <v>0</v>
      </c>
      <c r="P19" s="42"/>
      <c r="Q19" s="47"/>
      <c r="R19" s="49"/>
      <c r="S19" s="68">
        <f t="shared" ref="S19:S48" si="19">((P19*$B$12)+(Q19*$B$13)+(R19*$B$14))</f>
        <v>0</v>
      </c>
      <c r="T19" s="40"/>
    </row>
    <row r="20" spans="1:20" ht="15" thickBot="1" x14ac:dyDescent="0.35">
      <c r="H20" s="42">
        <f t="shared" ref="H20:H52" si="20">H19+1</f>
        <v>2028</v>
      </c>
      <c r="I20" s="48" t="e">
        <f>((1+$C$49)^(H20-#REF!))-1</f>
        <v>#REF!</v>
      </c>
      <c r="J20" s="177">
        <f t="shared" si="16"/>
        <v>0</v>
      </c>
      <c r="K20" s="177">
        <f t="shared" si="17"/>
        <v>0</v>
      </c>
      <c r="L20" s="178">
        <f t="shared" si="18"/>
        <v>0</v>
      </c>
      <c r="M20" s="179">
        <f t="shared" ref="M20:M51" si="21">ROUNDUP(J20*$B$48,2)</f>
        <v>0</v>
      </c>
      <c r="N20" s="177">
        <f t="shared" ref="N20:N51" si="22">ROUNDUP(K20*$B$48,2)</f>
        <v>0</v>
      </c>
      <c r="O20" s="178">
        <f t="shared" ref="O20:O51" si="23">ROUNDUP(L20*$B$48,2)</f>
        <v>0</v>
      </c>
      <c r="P20" s="42"/>
      <c r="Q20" s="47"/>
      <c r="R20" s="49"/>
      <c r="S20" s="68">
        <f t="shared" si="19"/>
        <v>0</v>
      </c>
      <c r="T20" s="40"/>
    </row>
    <row r="21" spans="1:20" x14ac:dyDescent="0.3">
      <c r="A21" s="597" t="s">
        <v>148</v>
      </c>
      <c r="B21" s="597"/>
      <c r="C21" s="597" t="s">
        <v>11</v>
      </c>
      <c r="H21" s="42">
        <f t="shared" si="20"/>
        <v>2029</v>
      </c>
      <c r="I21" s="48" t="e">
        <f>((1+$C$49)^(H21-#REF!))-1</f>
        <v>#REF!</v>
      </c>
      <c r="J21" s="177">
        <f t="shared" si="16"/>
        <v>0</v>
      </c>
      <c r="K21" s="177">
        <f t="shared" si="17"/>
        <v>0</v>
      </c>
      <c r="L21" s="178">
        <f t="shared" si="18"/>
        <v>0</v>
      </c>
      <c r="M21" s="179">
        <f t="shared" si="21"/>
        <v>0</v>
      </c>
      <c r="N21" s="177">
        <f t="shared" si="22"/>
        <v>0</v>
      </c>
      <c r="O21" s="178">
        <f t="shared" si="23"/>
        <v>0</v>
      </c>
      <c r="P21" s="42"/>
      <c r="Q21" s="47"/>
      <c r="R21" s="49"/>
      <c r="S21" s="68">
        <f t="shared" si="19"/>
        <v>0</v>
      </c>
      <c r="T21" s="40"/>
    </row>
    <row r="22" spans="1:20" ht="15" thickBot="1" x14ac:dyDescent="0.35">
      <c r="A22" s="598"/>
      <c r="B22" s="598"/>
      <c r="C22" s="598"/>
      <c r="H22" s="42">
        <f t="shared" si="20"/>
        <v>2030</v>
      </c>
      <c r="I22" s="48" t="e">
        <f>((1+$C$49)^(H22-#REF!))-1</f>
        <v>#REF!</v>
      </c>
      <c r="J22" s="177">
        <f t="shared" si="16"/>
        <v>0</v>
      </c>
      <c r="K22" s="177">
        <f t="shared" si="17"/>
        <v>0</v>
      </c>
      <c r="L22" s="178">
        <f t="shared" si="18"/>
        <v>0</v>
      </c>
      <c r="M22" s="179">
        <f t="shared" si="21"/>
        <v>0</v>
      </c>
      <c r="N22" s="177">
        <f t="shared" si="22"/>
        <v>0</v>
      </c>
      <c r="O22" s="178">
        <f t="shared" si="23"/>
        <v>0</v>
      </c>
      <c r="P22" s="176"/>
      <c r="Q22" s="179"/>
      <c r="R22" s="178"/>
      <c r="S22" s="68">
        <f t="shared" ref="S22:S23" si="24">((P22*$B$12)+(Q22*$B$13)+(R22*$B$14))</f>
        <v>0</v>
      </c>
      <c r="T22" s="40"/>
    </row>
    <row r="23" spans="1:20" x14ac:dyDescent="0.3">
      <c r="A23" s="34" t="s">
        <v>26</v>
      </c>
      <c r="B23" s="34">
        <v>62</v>
      </c>
      <c r="C23" s="44">
        <v>0</v>
      </c>
      <c r="H23" s="42">
        <f t="shared" si="20"/>
        <v>2031</v>
      </c>
      <c r="I23" s="48" t="e">
        <f>((1+$C$49)^(H23-#REF!))-1</f>
        <v>#REF!</v>
      </c>
      <c r="J23" s="177">
        <f t="shared" si="16"/>
        <v>0</v>
      </c>
      <c r="K23" s="177">
        <f t="shared" si="17"/>
        <v>0</v>
      </c>
      <c r="L23" s="178">
        <f t="shared" si="18"/>
        <v>0</v>
      </c>
      <c r="M23" s="179">
        <f t="shared" si="21"/>
        <v>0</v>
      </c>
      <c r="N23" s="177">
        <f t="shared" si="22"/>
        <v>0</v>
      </c>
      <c r="O23" s="178">
        <f t="shared" si="23"/>
        <v>0</v>
      </c>
      <c r="P23" s="176">
        <f t="shared" ref="P23" si="25">ABS(J23-M23)</f>
        <v>0</v>
      </c>
      <c r="Q23" s="179">
        <f t="shared" ref="Q23" si="26">ABS(K23-N23)</f>
        <v>0</v>
      </c>
      <c r="R23" s="178">
        <f t="shared" ref="R23" si="27">ABS(L23-O23)</f>
        <v>0</v>
      </c>
      <c r="S23" s="68">
        <f t="shared" si="24"/>
        <v>0</v>
      </c>
      <c r="T23" s="40"/>
    </row>
    <row r="24" spans="1:20" x14ac:dyDescent="0.3">
      <c r="A24" s="36" t="s">
        <v>6</v>
      </c>
      <c r="B24" s="36">
        <f>B23-B25</f>
        <v>53</v>
      </c>
      <c r="C24" s="45">
        <v>0</v>
      </c>
      <c r="H24" s="42">
        <f t="shared" si="20"/>
        <v>2032</v>
      </c>
      <c r="I24" s="48" t="e">
        <f>((1+$C$49)^(H24-#REF!))-1</f>
        <v>#REF!</v>
      </c>
      <c r="J24" s="177">
        <f t="shared" si="16"/>
        <v>0</v>
      </c>
      <c r="K24" s="177">
        <f t="shared" si="17"/>
        <v>0</v>
      </c>
      <c r="L24" s="178">
        <f t="shared" si="18"/>
        <v>0</v>
      </c>
      <c r="M24" s="179">
        <f>ROUNDUP(J24*$B$48,2)</f>
        <v>0</v>
      </c>
      <c r="N24" s="177">
        <f t="shared" si="22"/>
        <v>0</v>
      </c>
      <c r="O24" s="178">
        <f t="shared" si="23"/>
        <v>0</v>
      </c>
      <c r="P24" s="176">
        <f t="shared" ref="P24:P27" si="28">ABS(J24-M24)</f>
        <v>0</v>
      </c>
      <c r="Q24" s="179">
        <f t="shared" ref="Q24:Q27" si="29">ABS(K24-N24)</f>
        <v>0</v>
      </c>
      <c r="R24" s="178">
        <f t="shared" ref="R24:R27" si="30">ABS(L24-O24)</f>
        <v>0</v>
      </c>
      <c r="S24" s="68">
        <f>((P24*$B$12)+(Q24*$B$13)+(R24*$B$14))</f>
        <v>0</v>
      </c>
      <c r="T24" s="40"/>
    </row>
    <row r="25" spans="1:20" x14ac:dyDescent="0.3">
      <c r="A25" s="36" t="s">
        <v>7</v>
      </c>
      <c r="B25" s="36">
        <v>9</v>
      </c>
      <c r="C25" s="45">
        <v>0</v>
      </c>
      <c r="D25" s="22"/>
      <c r="H25" s="42">
        <f t="shared" si="20"/>
        <v>2033</v>
      </c>
      <c r="I25" s="48" t="e">
        <f>((1+$C$49)^(H25-#REF!))-1</f>
        <v>#REF!</v>
      </c>
      <c r="J25" s="177">
        <f t="shared" si="16"/>
        <v>0</v>
      </c>
      <c r="K25" s="177">
        <f t="shared" si="17"/>
        <v>0</v>
      </c>
      <c r="L25" s="178">
        <f t="shared" si="18"/>
        <v>0</v>
      </c>
      <c r="M25" s="179">
        <f t="shared" si="21"/>
        <v>0</v>
      </c>
      <c r="N25" s="177">
        <f t="shared" si="22"/>
        <v>0</v>
      </c>
      <c r="O25" s="178">
        <f t="shared" si="23"/>
        <v>0</v>
      </c>
      <c r="P25" s="176">
        <f t="shared" si="28"/>
        <v>0</v>
      </c>
      <c r="Q25" s="179">
        <f t="shared" si="29"/>
        <v>0</v>
      </c>
      <c r="R25" s="178">
        <f t="shared" si="30"/>
        <v>0</v>
      </c>
      <c r="S25" s="68">
        <f t="shared" si="19"/>
        <v>0</v>
      </c>
      <c r="T25" s="40"/>
    </row>
    <row r="26" spans="1:20" ht="15" thickBot="1" x14ac:dyDescent="0.35">
      <c r="A26" s="38" t="s">
        <v>9</v>
      </c>
      <c r="B26" s="38">
        <v>0</v>
      </c>
      <c r="C26" s="46">
        <f>B26/10</f>
        <v>0</v>
      </c>
      <c r="D26" s="22"/>
      <c r="H26" s="42">
        <f t="shared" si="20"/>
        <v>2034</v>
      </c>
      <c r="I26" s="48" t="e">
        <f>((1+$C$49)^(H26-#REF!))-1</f>
        <v>#REF!</v>
      </c>
      <c r="J26" s="177">
        <f t="shared" si="16"/>
        <v>0</v>
      </c>
      <c r="K26" s="177">
        <f t="shared" si="17"/>
        <v>0</v>
      </c>
      <c r="L26" s="178">
        <f t="shared" si="18"/>
        <v>0</v>
      </c>
      <c r="M26" s="179">
        <f t="shared" si="21"/>
        <v>0</v>
      </c>
      <c r="N26" s="177">
        <f t="shared" si="22"/>
        <v>0</v>
      </c>
      <c r="O26" s="178">
        <f t="shared" si="23"/>
        <v>0</v>
      </c>
      <c r="P26" s="176">
        <f t="shared" si="28"/>
        <v>0</v>
      </c>
      <c r="Q26" s="179">
        <f t="shared" si="29"/>
        <v>0</v>
      </c>
      <c r="R26" s="178">
        <f t="shared" si="30"/>
        <v>0</v>
      </c>
      <c r="S26" s="68">
        <f t="shared" si="19"/>
        <v>0</v>
      </c>
      <c r="T26" s="40"/>
    </row>
    <row r="27" spans="1:20" x14ac:dyDescent="0.3">
      <c r="A27" s="188" t="s">
        <v>96</v>
      </c>
      <c r="B27" s="171" t="s">
        <v>149</v>
      </c>
      <c r="C27" s="171"/>
      <c r="D27" s="22"/>
      <c r="H27" s="42">
        <f t="shared" si="20"/>
        <v>2035</v>
      </c>
      <c r="I27" s="48" t="e">
        <f>((1+$C$49)^(H27-#REF!))-1</f>
        <v>#REF!</v>
      </c>
      <c r="J27" s="177">
        <f t="shared" si="16"/>
        <v>0</v>
      </c>
      <c r="K27" s="177">
        <f t="shared" si="17"/>
        <v>0</v>
      </c>
      <c r="L27" s="178">
        <f t="shared" si="18"/>
        <v>0</v>
      </c>
      <c r="M27" s="179">
        <f t="shared" si="21"/>
        <v>0</v>
      </c>
      <c r="N27" s="177">
        <f t="shared" si="22"/>
        <v>0</v>
      </c>
      <c r="O27" s="178">
        <f t="shared" si="23"/>
        <v>0</v>
      </c>
      <c r="P27" s="176">
        <f t="shared" si="28"/>
        <v>0</v>
      </c>
      <c r="Q27" s="179">
        <f t="shared" si="29"/>
        <v>0</v>
      </c>
      <c r="R27" s="178">
        <f t="shared" si="30"/>
        <v>0</v>
      </c>
      <c r="S27" s="68">
        <f t="shared" si="19"/>
        <v>0</v>
      </c>
      <c r="T27" s="40"/>
    </row>
    <row r="28" spans="1:20" ht="15" thickBot="1" x14ac:dyDescent="0.35">
      <c r="A28" s="22"/>
      <c r="B28" s="22"/>
      <c r="C28" s="22"/>
      <c r="D28" s="22"/>
      <c r="H28" s="42">
        <f t="shared" si="20"/>
        <v>2036</v>
      </c>
      <c r="I28" s="48" t="e">
        <f>((1+$C$49)^(H28-#REF!))-1</f>
        <v>#REF!</v>
      </c>
      <c r="J28" s="177">
        <f t="shared" si="16"/>
        <v>0</v>
      </c>
      <c r="K28" s="177">
        <f t="shared" si="17"/>
        <v>0</v>
      </c>
      <c r="L28" s="178">
        <f t="shared" si="18"/>
        <v>0</v>
      </c>
      <c r="M28" s="179">
        <f t="shared" si="21"/>
        <v>0</v>
      </c>
      <c r="N28" s="177">
        <f t="shared" si="22"/>
        <v>0</v>
      </c>
      <c r="O28" s="178">
        <f t="shared" si="23"/>
        <v>0</v>
      </c>
      <c r="P28" s="176">
        <f>ABS(J28-M28)</f>
        <v>0</v>
      </c>
      <c r="Q28" s="179">
        <f>ABS(K28-N28)</f>
        <v>0</v>
      </c>
      <c r="R28" s="178">
        <f>ABS(L28-O28)</f>
        <v>0</v>
      </c>
      <c r="S28" s="68">
        <f t="shared" si="19"/>
        <v>0</v>
      </c>
      <c r="T28" s="40"/>
    </row>
    <row r="29" spans="1:20" ht="15" thickBot="1" x14ac:dyDescent="0.35">
      <c r="A29" s="599" t="s">
        <v>147</v>
      </c>
      <c r="B29" s="472"/>
      <c r="C29" s="473"/>
      <c r="H29" s="42">
        <f t="shared" si="20"/>
        <v>2037</v>
      </c>
      <c r="I29" s="48" t="e">
        <f>((1+$C$49)^(H29-#REF!))-1</f>
        <v>#REF!</v>
      </c>
      <c r="J29" s="177">
        <f t="shared" si="16"/>
        <v>0</v>
      </c>
      <c r="K29" s="177">
        <f t="shared" si="17"/>
        <v>0</v>
      </c>
      <c r="L29" s="178">
        <f t="shared" si="18"/>
        <v>0</v>
      </c>
      <c r="M29" s="179">
        <f t="shared" si="21"/>
        <v>0</v>
      </c>
      <c r="N29" s="177">
        <f t="shared" si="22"/>
        <v>0</v>
      </c>
      <c r="O29" s="178">
        <f t="shared" si="23"/>
        <v>0</v>
      </c>
      <c r="P29" s="176">
        <f t="shared" ref="P29:P48" si="31">ABS(J29-M29)</f>
        <v>0</v>
      </c>
      <c r="Q29" s="179">
        <f t="shared" ref="Q29:Q48" si="32">ABS(K29-N29)</f>
        <v>0</v>
      </c>
      <c r="R29" s="178">
        <f t="shared" ref="R29:R48" si="33">ABS(L29-O29)</f>
        <v>0</v>
      </c>
      <c r="S29" s="68">
        <f t="shared" si="19"/>
        <v>0</v>
      </c>
      <c r="T29" s="40"/>
    </row>
    <row r="30" spans="1:20" ht="15" thickBot="1" x14ac:dyDescent="0.35">
      <c r="A30" s="599" t="s">
        <v>178</v>
      </c>
      <c r="B30" s="472"/>
      <c r="C30" s="71">
        <v>0.93</v>
      </c>
      <c r="H30" s="42">
        <f t="shared" si="20"/>
        <v>2038</v>
      </c>
      <c r="I30" s="48" t="e">
        <f>((1+$C$49)^(H30-#REF!))-1</f>
        <v>#REF!</v>
      </c>
      <c r="J30" s="177">
        <f t="shared" si="16"/>
        <v>0</v>
      </c>
      <c r="K30" s="177">
        <f t="shared" si="17"/>
        <v>0</v>
      </c>
      <c r="L30" s="178">
        <f t="shared" si="18"/>
        <v>0</v>
      </c>
      <c r="M30" s="179">
        <f t="shared" si="21"/>
        <v>0</v>
      </c>
      <c r="N30" s="177">
        <f t="shared" si="22"/>
        <v>0</v>
      </c>
      <c r="O30" s="178">
        <f t="shared" si="23"/>
        <v>0</v>
      </c>
      <c r="P30" s="176">
        <f t="shared" si="31"/>
        <v>0</v>
      </c>
      <c r="Q30" s="179">
        <f t="shared" si="32"/>
        <v>0</v>
      </c>
      <c r="R30" s="178">
        <f t="shared" si="33"/>
        <v>0</v>
      </c>
      <c r="S30" s="68">
        <f t="shared" si="19"/>
        <v>0</v>
      </c>
      <c r="T30" s="40"/>
    </row>
    <row r="31" spans="1:20" ht="15" customHeight="1" x14ac:dyDescent="0.3">
      <c r="A31" s="594" t="s">
        <v>181</v>
      </c>
      <c r="B31" s="594"/>
      <c r="C31" s="594"/>
      <c r="D31" s="594"/>
      <c r="E31" s="594"/>
      <c r="F31" s="594"/>
      <c r="H31" s="42">
        <f t="shared" si="20"/>
        <v>2039</v>
      </c>
      <c r="I31" s="48" t="e">
        <f>((1+$C$49)^(H31-#REF!))-1</f>
        <v>#REF!</v>
      </c>
      <c r="J31" s="177">
        <f t="shared" si="16"/>
        <v>0</v>
      </c>
      <c r="K31" s="177">
        <f t="shared" si="17"/>
        <v>0</v>
      </c>
      <c r="L31" s="178">
        <f t="shared" si="18"/>
        <v>0</v>
      </c>
      <c r="M31" s="179">
        <f t="shared" si="21"/>
        <v>0</v>
      </c>
      <c r="N31" s="177">
        <f t="shared" si="22"/>
        <v>0</v>
      </c>
      <c r="O31" s="178">
        <f t="shared" si="23"/>
        <v>0</v>
      </c>
      <c r="P31" s="176">
        <f t="shared" si="31"/>
        <v>0</v>
      </c>
      <c r="Q31" s="179">
        <f t="shared" si="32"/>
        <v>0</v>
      </c>
      <c r="R31" s="178">
        <f t="shared" si="33"/>
        <v>0</v>
      </c>
      <c r="S31" s="68">
        <f t="shared" si="19"/>
        <v>0</v>
      </c>
      <c r="T31" s="40"/>
    </row>
    <row r="32" spans="1:20" x14ac:dyDescent="0.3">
      <c r="A32" s="594"/>
      <c r="B32" s="594"/>
      <c r="C32" s="594"/>
      <c r="D32" s="594"/>
      <c r="E32" s="594"/>
      <c r="F32" s="594"/>
      <c r="H32" s="42">
        <f t="shared" si="20"/>
        <v>2040</v>
      </c>
      <c r="I32" s="48" t="e">
        <f>((1+$C$49)^(H32-#REF!))-1</f>
        <v>#REF!</v>
      </c>
      <c r="J32" s="177">
        <f t="shared" si="16"/>
        <v>0</v>
      </c>
      <c r="K32" s="177">
        <f t="shared" si="17"/>
        <v>0</v>
      </c>
      <c r="L32" s="178">
        <f t="shared" si="18"/>
        <v>0</v>
      </c>
      <c r="M32" s="179">
        <f t="shared" si="21"/>
        <v>0</v>
      </c>
      <c r="N32" s="177">
        <f t="shared" si="22"/>
        <v>0</v>
      </c>
      <c r="O32" s="178">
        <f t="shared" si="23"/>
        <v>0</v>
      </c>
      <c r="P32" s="176">
        <f t="shared" si="31"/>
        <v>0</v>
      </c>
      <c r="Q32" s="179">
        <f t="shared" si="32"/>
        <v>0</v>
      </c>
      <c r="R32" s="178">
        <f t="shared" si="33"/>
        <v>0</v>
      </c>
      <c r="S32" s="68">
        <f t="shared" si="19"/>
        <v>0</v>
      </c>
      <c r="T32" s="40"/>
    </row>
    <row r="33" spans="1:26" x14ac:dyDescent="0.3">
      <c r="A33" s="594"/>
      <c r="B33" s="594"/>
      <c r="C33" s="594"/>
      <c r="D33" s="594"/>
      <c r="E33" s="594"/>
      <c r="F33" s="594"/>
      <c r="H33" s="42">
        <f t="shared" si="20"/>
        <v>2041</v>
      </c>
      <c r="I33" s="48" t="e">
        <f>((1+$C$49)^(H33-#REF!))-1</f>
        <v>#REF!</v>
      </c>
      <c r="J33" s="177">
        <f t="shared" si="16"/>
        <v>0</v>
      </c>
      <c r="K33" s="177">
        <f t="shared" si="17"/>
        <v>0</v>
      </c>
      <c r="L33" s="178">
        <f t="shared" si="18"/>
        <v>0</v>
      </c>
      <c r="M33" s="179">
        <f t="shared" si="21"/>
        <v>0</v>
      </c>
      <c r="N33" s="177">
        <f t="shared" si="22"/>
        <v>0</v>
      </c>
      <c r="O33" s="178">
        <f t="shared" si="23"/>
        <v>0</v>
      </c>
      <c r="P33" s="176">
        <f t="shared" si="31"/>
        <v>0</v>
      </c>
      <c r="Q33" s="179">
        <f t="shared" si="32"/>
        <v>0</v>
      </c>
      <c r="R33" s="178">
        <f t="shared" si="33"/>
        <v>0</v>
      </c>
      <c r="S33" s="68">
        <f t="shared" si="19"/>
        <v>0</v>
      </c>
      <c r="T33" s="40"/>
    </row>
    <row r="34" spans="1:26" ht="15" thickBot="1" x14ac:dyDescent="0.35">
      <c r="A34" t="s">
        <v>182</v>
      </c>
      <c r="B34" s="327" t="s">
        <v>183</v>
      </c>
      <c r="H34" s="42">
        <f t="shared" si="20"/>
        <v>2042</v>
      </c>
      <c r="I34" s="48" t="e">
        <f>((1+$C$49)^(H34-#REF!))-1</f>
        <v>#REF!</v>
      </c>
      <c r="J34" s="177">
        <f t="shared" si="16"/>
        <v>0</v>
      </c>
      <c r="K34" s="177">
        <f t="shared" si="17"/>
        <v>0</v>
      </c>
      <c r="L34" s="178">
        <f t="shared" si="18"/>
        <v>0</v>
      </c>
      <c r="M34" s="179">
        <f t="shared" si="21"/>
        <v>0</v>
      </c>
      <c r="N34" s="177">
        <f t="shared" si="22"/>
        <v>0</v>
      </c>
      <c r="O34" s="178">
        <f t="shared" si="23"/>
        <v>0</v>
      </c>
      <c r="P34" s="176">
        <f t="shared" si="31"/>
        <v>0</v>
      </c>
      <c r="Q34" s="179">
        <f t="shared" si="32"/>
        <v>0</v>
      </c>
      <c r="R34" s="178">
        <f t="shared" si="33"/>
        <v>0</v>
      </c>
      <c r="S34" s="68">
        <f t="shared" si="19"/>
        <v>0</v>
      </c>
      <c r="T34" s="40"/>
    </row>
    <row r="35" spans="1:26" ht="15" thickBot="1" x14ac:dyDescent="0.35">
      <c r="A35" s="599" t="s">
        <v>147</v>
      </c>
      <c r="B35" s="472"/>
      <c r="C35" s="473"/>
      <c r="H35" s="42">
        <f t="shared" si="20"/>
        <v>2043</v>
      </c>
      <c r="I35" s="48" t="e">
        <f>((1+$C$49)^(H35-#REF!))-1</f>
        <v>#REF!</v>
      </c>
      <c r="J35" s="177">
        <f t="shared" si="16"/>
        <v>0</v>
      </c>
      <c r="K35" s="177">
        <f t="shared" si="17"/>
        <v>0</v>
      </c>
      <c r="L35" s="178">
        <f t="shared" si="18"/>
        <v>0</v>
      </c>
      <c r="M35" s="179">
        <f t="shared" si="21"/>
        <v>0</v>
      </c>
      <c r="N35" s="177">
        <f t="shared" si="22"/>
        <v>0</v>
      </c>
      <c r="O35" s="178">
        <f t="shared" si="23"/>
        <v>0</v>
      </c>
      <c r="P35" s="176">
        <f t="shared" si="31"/>
        <v>0</v>
      </c>
      <c r="Q35" s="179">
        <f t="shared" si="32"/>
        <v>0</v>
      </c>
      <c r="R35" s="178">
        <f t="shared" si="33"/>
        <v>0</v>
      </c>
      <c r="S35" s="68">
        <f t="shared" si="19"/>
        <v>0</v>
      </c>
      <c r="T35" s="40"/>
    </row>
    <row r="36" spans="1:26" ht="15" thickBot="1" x14ac:dyDescent="0.35">
      <c r="A36" s="599" t="s">
        <v>188</v>
      </c>
      <c r="B36" s="472"/>
      <c r="C36" s="71">
        <v>0.72</v>
      </c>
      <c r="H36" s="42">
        <f t="shared" si="20"/>
        <v>2044</v>
      </c>
      <c r="I36" s="48" t="e">
        <f>((1+$C$49)^(H36-#REF!))-1</f>
        <v>#REF!</v>
      </c>
      <c r="J36" s="177">
        <f t="shared" si="16"/>
        <v>0</v>
      </c>
      <c r="K36" s="177">
        <f t="shared" si="17"/>
        <v>0</v>
      </c>
      <c r="L36" s="178">
        <f t="shared" si="18"/>
        <v>0</v>
      </c>
      <c r="M36" s="179">
        <f t="shared" si="21"/>
        <v>0</v>
      </c>
      <c r="N36" s="177">
        <f t="shared" si="22"/>
        <v>0</v>
      </c>
      <c r="O36" s="178">
        <f t="shared" si="23"/>
        <v>0</v>
      </c>
      <c r="P36" s="176">
        <f t="shared" si="31"/>
        <v>0</v>
      </c>
      <c r="Q36" s="179">
        <f t="shared" si="32"/>
        <v>0</v>
      </c>
      <c r="R36" s="178">
        <f t="shared" si="33"/>
        <v>0</v>
      </c>
      <c r="S36" s="68">
        <f t="shared" si="19"/>
        <v>0</v>
      </c>
      <c r="T36" s="40"/>
    </row>
    <row r="37" spans="1:26" ht="15" customHeight="1" x14ac:dyDescent="0.3">
      <c r="A37" s="604" t="s">
        <v>189</v>
      </c>
      <c r="B37" s="604"/>
      <c r="C37" s="604"/>
      <c r="D37" s="604"/>
      <c r="E37" s="604"/>
      <c r="F37" s="604"/>
      <c r="H37" s="42">
        <f t="shared" si="20"/>
        <v>2045</v>
      </c>
      <c r="I37" s="48" t="e">
        <f>((1+$C$49)^(H37-#REF!))-1</f>
        <v>#REF!</v>
      </c>
      <c r="J37" s="177">
        <f t="shared" si="16"/>
        <v>0</v>
      </c>
      <c r="K37" s="177">
        <f t="shared" si="17"/>
        <v>0</v>
      </c>
      <c r="L37" s="178">
        <f t="shared" si="18"/>
        <v>0</v>
      </c>
      <c r="M37" s="179">
        <f t="shared" si="21"/>
        <v>0</v>
      </c>
      <c r="N37" s="177">
        <f t="shared" si="22"/>
        <v>0</v>
      </c>
      <c r="O37" s="178">
        <f t="shared" si="23"/>
        <v>0</v>
      </c>
      <c r="P37" s="176">
        <f t="shared" si="31"/>
        <v>0</v>
      </c>
      <c r="Q37" s="179">
        <f t="shared" si="32"/>
        <v>0</v>
      </c>
      <c r="R37" s="178">
        <f t="shared" si="33"/>
        <v>0</v>
      </c>
      <c r="S37" s="68">
        <f t="shared" si="19"/>
        <v>0</v>
      </c>
      <c r="T37" s="40"/>
    </row>
    <row r="38" spans="1:26" ht="15" customHeight="1" x14ac:dyDescent="0.3">
      <c r="A38" s="604"/>
      <c r="B38" s="604"/>
      <c r="C38" s="604"/>
      <c r="D38" s="604"/>
      <c r="E38" s="604"/>
      <c r="F38" s="604"/>
      <c r="H38" s="42">
        <f t="shared" si="20"/>
        <v>2046</v>
      </c>
      <c r="I38" s="48" t="e">
        <f>((1+$C$49)^(H38-#REF!))-1</f>
        <v>#REF!</v>
      </c>
      <c r="J38" s="177">
        <f t="shared" si="16"/>
        <v>0</v>
      </c>
      <c r="K38" s="177">
        <f t="shared" si="17"/>
        <v>0</v>
      </c>
      <c r="L38" s="178">
        <f t="shared" si="18"/>
        <v>0</v>
      </c>
      <c r="M38" s="179">
        <f t="shared" si="21"/>
        <v>0</v>
      </c>
      <c r="N38" s="177">
        <f t="shared" si="22"/>
        <v>0</v>
      </c>
      <c r="O38" s="178">
        <f t="shared" si="23"/>
        <v>0</v>
      </c>
      <c r="P38" s="176">
        <f t="shared" si="31"/>
        <v>0</v>
      </c>
      <c r="Q38" s="179">
        <f t="shared" si="32"/>
        <v>0</v>
      </c>
      <c r="R38" s="178">
        <f t="shared" si="33"/>
        <v>0</v>
      </c>
      <c r="S38" s="68">
        <f t="shared" si="19"/>
        <v>0</v>
      </c>
      <c r="T38" s="40"/>
    </row>
    <row r="39" spans="1:26" x14ac:dyDescent="0.3">
      <c r="A39" s="604"/>
      <c r="B39" s="604"/>
      <c r="C39" s="604"/>
      <c r="D39" s="604"/>
      <c r="E39" s="604"/>
      <c r="F39" s="604"/>
      <c r="H39" s="42">
        <f t="shared" si="20"/>
        <v>2047</v>
      </c>
      <c r="I39" s="48" t="e">
        <f>((1+$C$49)^(H39-#REF!))-1</f>
        <v>#REF!</v>
      </c>
      <c r="J39" s="177">
        <f t="shared" si="16"/>
        <v>0</v>
      </c>
      <c r="K39" s="177">
        <f t="shared" si="17"/>
        <v>0</v>
      </c>
      <c r="L39" s="178">
        <f t="shared" si="18"/>
        <v>0</v>
      </c>
      <c r="M39" s="179">
        <f t="shared" si="21"/>
        <v>0</v>
      </c>
      <c r="N39" s="177">
        <f t="shared" si="22"/>
        <v>0</v>
      </c>
      <c r="O39" s="178">
        <f t="shared" si="23"/>
        <v>0</v>
      </c>
      <c r="P39" s="176">
        <f t="shared" si="31"/>
        <v>0</v>
      </c>
      <c r="Q39" s="179">
        <f t="shared" si="32"/>
        <v>0</v>
      </c>
      <c r="R39" s="178">
        <f t="shared" si="33"/>
        <v>0</v>
      </c>
      <c r="S39" s="68">
        <f t="shared" si="19"/>
        <v>0</v>
      </c>
      <c r="T39" s="40"/>
    </row>
    <row r="40" spans="1:26" x14ac:dyDescent="0.3">
      <c r="A40" s="604"/>
      <c r="B40" s="604"/>
      <c r="C40" s="604"/>
      <c r="D40" s="604"/>
      <c r="E40" s="604"/>
      <c r="F40" s="604"/>
      <c r="H40" s="42">
        <f t="shared" si="20"/>
        <v>2048</v>
      </c>
      <c r="I40" s="48" t="e">
        <f>((1+$C$49)^(H40-#REF!))-1</f>
        <v>#REF!</v>
      </c>
      <c r="J40" s="177">
        <f t="shared" si="16"/>
        <v>0</v>
      </c>
      <c r="K40" s="177">
        <f t="shared" si="17"/>
        <v>0</v>
      </c>
      <c r="L40" s="178">
        <f t="shared" si="18"/>
        <v>0</v>
      </c>
      <c r="M40" s="179">
        <f t="shared" si="21"/>
        <v>0</v>
      </c>
      <c r="N40" s="177">
        <f t="shared" si="22"/>
        <v>0</v>
      </c>
      <c r="O40" s="178">
        <f t="shared" si="23"/>
        <v>0</v>
      </c>
      <c r="P40" s="176">
        <f t="shared" si="31"/>
        <v>0</v>
      </c>
      <c r="Q40" s="179">
        <f t="shared" si="32"/>
        <v>0</v>
      </c>
      <c r="R40" s="178">
        <f t="shared" si="33"/>
        <v>0</v>
      </c>
      <c r="S40" s="68">
        <f t="shared" si="19"/>
        <v>0</v>
      </c>
      <c r="T40" s="40"/>
    </row>
    <row r="41" spans="1:26" x14ac:dyDescent="0.3">
      <c r="A41" t="s">
        <v>190</v>
      </c>
      <c r="H41" s="42">
        <f t="shared" si="20"/>
        <v>2049</v>
      </c>
      <c r="I41" s="48" t="e">
        <f>((1+$C$49)^(H41-#REF!))-1</f>
        <v>#REF!</v>
      </c>
      <c r="J41" s="177">
        <f t="shared" si="16"/>
        <v>0</v>
      </c>
      <c r="K41" s="177">
        <f t="shared" si="17"/>
        <v>0</v>
      </c>
      <c r="L41" s="178">
        <f t="shared" si="18"/>
        <v>0</v>
      </c>
      <c r="M41" s="179">
        <f t="shared" si="21"/>
        <v>0</v>
      </c>
      <c r="N41" s="177">
        <f t="shared" si="22"/>
        <v>0</v>
      </c>
      <c r="O41" s="178">
        <f t="shared" si="23"/>
        <v>0</v>
      </c>
      <c r="P41" s="176">
        <f t="shared" si="31"/>
        <v>0</v>
      </c>
      <c r="Q41" s="179">
        <f t="shared" si="32"/>
        <v>0</v>
      </c>
      <c r="R41" s="178">
        <f t="shared" si="33"/>
        <v>0</v>
      </c>
      <c r="S41" s="68">
        <f t="shared" si="19"/>
        <v>0</v>
      </c>
      <c r="T41" s="40"/>
    </row>
    <row r="42" spans="1:26" x14ac:dyDescent="0.3">
      <c r="A42" s="131" t="s">
        <v>191</v>
      </c>
      <c r="B42" s="131">
        <v>0.72</v>
      </c>
      <c r="H42" s="42">
        <f t="shared" si="20"/>
        <v>2050</v>
      </c>
      <c r="I42" s="48" t="e">
        <f>((1+$C$49)^(H42-#REF!))-1</f>
        <v>#REF!</v>
      </c>
      <c r="J42" s="177">
        <f t="shared" si="16"/>
        <v>0</v>
      </c>
      <c r="K42" s="177">
        <f t="shared" si="17"/>
        <v>0</v>
      </c>
      <c r="L42" s="178">
        <f t="shared" si="18"/>
        <v>0</v>
      </c>
      <c r="M42" s="179">
        <f t="shared" si="21"/>
        <v>0</v>
      </c>
      <c r="N42" s="177">
        <f t="shared" si="22"/>
        <v>0</v>
      </c>
      <c r="O42" s="178">
        <f t="shared" si="23"/>
        <v>0</v>
      </c>
      <c r="P42" s="176">
        <f t="shared" si="31"/>
        <v>0</v>
      </c>
      <c r="Q42" s="179">
        <f t="shared" si="32"/>
        <v>0</v>
      </c>
      <c r="R42" s="178">
        <f t="shared" si="33"/>
        <v>0</v>
      </c>
      <c r="S42" s="69">
        <f t="shared" si="19"/>
        <v>0</v>
      </c>
      <c r="T42" s="40"/>
    </row>
    <row r="43" spans="1:26" ht="15" customHeight="1" x14ac:dyDescent="0.3">
      <c r="A43" s="348" t="s">
        <v>192</v>
      </c>
      <c r="B43" s="348">
        <v>0.93</v>
      </c>
      <c r="H43" s="42">
        <f t="shared" si="20"/>
        <v>2051</v>
      </c>
      <c r="I43" s="48" t="e">
        <f>((1+$C$49)^(H43-#REF!))-1</f>
        <v>#REF!</v>
      </c>
      <c r="J43" s="177">
        <f t="shared" si="16"/>
        <v>0</v>
      </c>
      <c r="K43" s="177">
        <f t="shared" si="17"/>
        <v>0</v>
      </c>
      <c r="L43" s="178">
        <f t="shared" si="18"/>
        <v>0</v>
      </c>
      <c r="M43" s="179">
        <f t="shared" si="21"/>
        <v>0</v>
      </c>
      <c r="N43" s="177">
        <f t="shared" si="22"/>
        <v>0</v>
      </c>
      <c r="O43" s="178">
        <f t="shared" si="23"/>
        <v>0</v>
      </c>
      <c r="P43" s="176">
        <f t="shared" si="31"/>
        <v>0</v>
      </c>
      <c r="Q43" s="179">
        <f t="shared" si="32"/>
        <v>0</v>
      </c>
      <c r="R43" s="178">
        <f t="shared" si="33"/>
        <v>0</v>
      </c>
      <c r="S43" s="70">
        <f t="shared" si="19"/>
        <v>0</v>
      </c>
      <c r="T43" s="40"/>
    </row>
    <row r="44" spans="1:26" x14ac:dyDescent="0.3">
      <c r="A44" s="131" t="s">
        <v>193</v>
      </c>
      <c r="B44" s="347">
        <f>(B42*B43)^B42</f>
        <v>0.74918163085355527</v>
      </c>
      <c r="H44" s="42">
        <f t="shared" si="20"/>
        <v>2052</v>
      </c>
      <c r="I44" s="48" t="e">
        <f>((1+$C$49)^(H44-#REF!))-1</f>
        <v>#REF!</v>
      </c>
      <c r="J44" s="177">
        <f t="shared" si="16"/>
        <v>0</v>
      </c>
      <c r="K44" s="177">
        <f t="shared" si="17"/>
        <v>0</v>
      </c>
      <c r="L44" s="178">
        <f t="shared" si="18"/>
        <v>0</v>
      </c>
      <c r="M44" s="179">
        <f t="shared" si="21"/>
        <v>0</v>
      </c>
      <c r="N44" s="177">
        <f t="shared" si="22"/>
        <v>0</v>
      </c>
      <c r="O44" s="178">
        <f t="shared" si="23"/>
        <v>0</v>
      </c>
      <c r="P44" s="176">
        <f t="shared" si="31"/>
        <v>0</v>
      </c>
      <c r="Q44" s="179">
        <f t="shared" si="32"/>
        <v>0</v>
      </c>
      <c r="R44" s="178">
        <f t="shared" si="33"/>
        <v>0</v>
      </c>
      <c r="S44" s="68">
        <f t="shared" si="19"/>
        <v>0</v>
      </c>
      <c r="T44" s="40"/>
    </row>
    <row r="45" spans="1:26" x14ac:dyDescent="0.3">
      <c r="H45" s="42">
        <f t="shared" si="20"/>
        <v>2053</v>
      </c>
      <c r="I45" s="48" t="e">
        <f>((1+$C$49)^(H45-#REF!))-1</f>
        <v>#REF!</v>
      </c>
      <c r="J45" s="177">
        <f t="shared" si="16"/>
        <v>0</v>
      </c>
      <c r="K45" s="177">
        <f t="shared" si="17"/>
        <v>0</v>
      </c>
      <c r="L45" s="178">
        <f t="shared" si="18"/>
        <v>0</v>
      </c>
      <c r="M45" s="179">
        <f t="shared" si="21"/>
        <v>0</v>
      </c>
      <c r="N45" s="177">
        <f t="shared" si="22"/>
        <v>0</v>
      </c>
      <c r="O45" s="178">
        <f t="shared" si="23"/>
        <v>0</v>
      </c>
      <c r="P45" s="176">
        <f t="shared" si="31"/>
        <v>0</v>
      </c>
      <c r="Q45" s="179">
        <f t="shared" si="32"/>
        <v>0</v>
      </c>
      <c r="R45" s="178">
        <f t="shared" si="33"/>
        <v>0</v>
      </c>
      <c r="S45" s="68">
        <f t="shared" si="19"/>
        <v>0</v>
      </c>
      <c r="T45" s="40"/>
    </row>
    <row r="46" spans="1:26" x14ac:dyDescent="0.3">
      <c r="A46" t="s">
        <v>194</v>
      </c>
      <c r="H46" s="42">
        <f t="shared" si="20"/>
        <v>2054</v>
      </c>
      <c r="I46" s="48" t="e">
        <f>((1+$C$49)^(H46-#REF!))-1</f>
        <v>#REF!</v>
      </c>
      <c r="J46" s="177">
        <f t="shared" si="16"/>
        <v>0</v>
      </c>
      <c r="K46" s="177">
        <f t="shared" si="17"/>
        <v>0</v>
      </c>
      <c r="L46" s="178">
        <f t="shared" si="18"/>
        <v>0</v>
      </c>
      <c r="M46" s="179">
        <f t="shared" si="21"/>
        <v>0</v>
      </c>
      <c r="N46" s="177">
        <f t="shared" si="22"/>
        <v>0</v>
      </c>
      <c r="O46" s="178">
        <f t="shared" si="23"/>
        <v>0</v>
      </c>
      <c r="P46" s="176">
        <f t="shared" si="31"/>
        <v>0</v>
      </c>
      <c r="Q46" s="179">
        <f t="shared" si="32"/>
        <v>0</v>
      </c>
      <c r="R46" s="178">
        <f t="shared" si="33"/>
        <v>0</v>
      </c>
      <c r="S46" s="68">
        <f t="shared" si="19"/>
        <v>0</v>
      </c>
      <c r="T46" s="40"/>
    </row>
    <row r="47" spans="1:26" ht="15" thickBot="1" x14ac:dyDescent="0.35">
      <c r="A47" s="5"/>
      <c r="B47" s="5"/>
      <c r="C47" s="5"/>
      <c r="H47" s="42">
        <f t="shared" si="20"/>
        <v>2055</v>
      </c>
      <c r="I47" s="48" t="e">
        <f>((1+$C$49)^(H47-#REF!))-1</f>
        <v>#REF!</v>
      </c>
      <c r="J47" s="177">
        <f t="shared" si="16"/>
        <v>0</v>
      </c>
      <c r="K47" s="177">
        <f t="shared" si="17"/>
        <v>0</v>
      </c>
      <c r="L47" s="178">
        <f t="shared" si="18"/>
        <v>0</v>
      </c>
      <c r="M47" s="179">
        <f t="shared" si="21"/>
        <v>0</v>
      </c>
      <c r="N47" s="177">
        <f t="shared" si="22"/>
        <v>0</v>
      </c>
      <c r="O47" s="178">
        <f t="shared" si="23"/>
        <v>0</v>
      </c>
      <c r="P47" s="176">
        <f t="shared" si="31"/>
        <v>0</v>
      </c>
      <c r="Q47" s="179">
        <f t="shared" si="32"/>
        <v>0</v>
      </c>
      <c r="R47" s="178">
        <f t="shared" si="33"/>
        <v>0</v>
      </c>
      <c r="S47" s="68">
        <f t="shared" si="19"/>
        <v>0</v>
      </c>
      <c r="T47" s="40"/>
    </row>
    <row r="48" spans="1:26" ht="15.75" customHeight="1" thickBot="1" x14ac:dyDescent="0.45">
      <c r="A48" s="349" t="s">
        <v>195</v>
      </c>
      <c r="B48" s="350">
        <v>0</v>
      </c>
      <c r="C48" s="8"/>
      <c r="H48" s="42">
        <f t="shared" si="20"/>
        <v>2056</v>
      </c>
      <c r="I48" s="48" t="e">
        <f>((1+$C$49)^(H48-#REF!))-1</f>
        <v>#REF!</v>
      </c>
      <c r="J48" s="177">
        <f t="shared" si="16"/>
        <v>0</v>
      </c>
      <c r="K48" s="177">
        <f t="shared" si="17"/>
        <v>0</v>
      </c>
      <c r="L48" s="178">
        <f t="shared" si="18"/>
        <v>0</v>
      </c>
      <c r="M48" s="179">
        <f t="shared" si="21"/>
        <v>0</v>
      </c>
      <c r="N48" s="177">
        <f t="shared" si="22"/>
        <v>0</v>
      </c>
      <c r="O48" s="178">
        <f t="shared" si="23"/>
        <v>0</v>
      </c>
      <c r="P48" s="176">
        <f t="shared" si="31"/>
        <v>0</v>
      </c>
      <c r="Q48" s="179">
        <f t="shared" si="32"/>
        <v>0</v>
      </c>
      <c r="R48" s="178">
        <f t="shared" si="33"/>
        <v>0</v>
      </c>
      <c r="S48" s="68">
        <f t="shared" si="19"/>
        <v>0</v>
      </c>
      <c r="T48" s="56"/>
      <c r="U48" s="56"/>
      <c r="V48" s="56"/>
      <c r="W48" s="56"/>
      <c r="X48" s="56"/>
      <c r="Y48" s="56"/>
      <c r="Z48" s="56"/>
    </row>
    <row r="49" spans="1:26" x14ac:dyDescent="0.3">
      <c r="A49" s="110"/>
      <c r="B49" s="189"/>
      <c r="C49" s="108"/>
      <c r="H49" s="42">
        <f t="shared" si="20"/>
        <v>2057</v>
      </c>
      <c r="I49" s="48" t="e">
        <f>((1+$C$49)^(H49-#REF!))-1</f>
        <v>#REF!</v>
      </c>
      <c r="J49" s="177">
        <f t="shared" si="16"/>
        <v>0</v>
      </c>
      <c r="K49" s="177">
        <f t="shared" si="17"/>
        <v>0</v>
      </c>
      <c r="L49" s="178">
        <f t="shared" si="18"/>
        <v>0</v>
      </c>
      <c r="M49" s="179">
        <f t="shared" si="21"/>
        <v>0</v>
      </c>
      <c r="N49" s="177">
        <f t="shared" si="22"/>
        <v>0</v>
      </c>
      <c r="O49" s="178">
        <f t="shared" si="23"/>
        <v>0</v>
      </c>
      <c r="P49" s="176">
        <f t="shared" ref="P49:P50" si="34">ABS(J49-M49)</f>
        <v>0</v>
      </c>
      <c r="Q49" s="179">
        <f t="shared" ref="Q49:Q50" si="35">ABS(K49-N49)</f>
        <v>0</v>
      </c>
      <c r="R49" s="178">
        <f t="shared" ref="R49:R50" si="36">ABS(L49-O49)</f>
        <v>0</v>
      </c>
      <c r="S49" s="68">
        <f t="shared" ref="S49:S50" si="37">((P49*$B$12)+(Q49*$B$13)+(R49*$B$14))</f>
        <v>0</v>
      </c>
      <c r="T49" s="56"/>
      <c r="U49" s="56"/>
      <c r="V49" s="56"/>
      <c r="W49" s="56"/>
      <c r="X49" s="56"/>
      <c r="Y49" s="56"/>
      <c r="Z49" s="56"/>
    </row>
    <row r="50" spans="1:26" x14ac:dyDescent="0.3">
      <c r="A50" s="110"/>
      <c r="H50" s="42">
        <f t="shared" si="20"/>
        <v>2058</v>
      </c>
      <c r="I50" s="48" t="e">
        <f>((1+$C$49)^(H50-#REF!))-1</f>
        <v>#REF!</v>
      </c>
      <c r="J50" s="177">
        <f t="shared" si="16"/>
        <v>0</v>
      </c>
      <c r="K50" s="177">
        <f t="shared" si="17"/>
        <v>0</v>
      </c>
      <c r="L50" s="178">
        <f t="shared" si="18"/>
        <v>0</v>
      </c>
      <c r="M50" s="179">
        <f t="shared" si="21"/>
        <v>0</v>
      </c>
      <c r="N50" s="177">
        <f t="shared" si="22"/>
        <v>0</v>
      </c>
      <c r="O50" s="178">
        <f t="shared" si="23"/>
        <v>0</v>
      </c>
      <c r="P50" s="176">
        <f t="shared" si="34"/>
        <v>0</v>
      </c>
      <c r="Q50" s="179">
        <f t="shared" si="35"/>
        <v>0</v>
      </c>
      <c r="R50" s="178">
        <f t="shared" si="36"/>
        <v>0</v>
      </c>
      <c r="S50" s="68">
        <f t="shared" si="37"/>
        <v>0</v>
      </c>
      <c r="T50" s="56"/>
      <c r="U50" s="56"/>
      <c r="V50" s="56"/>
      <c r="W50" s="56"/>
      <c r="X50" s="56"/>
      <c r="Y50" s="56"/>
      <c r="Z50" s="56"/>
    </row>
    <row r="51" spans="1:26" x14ac:dyDescent="0.3">
      <c r="B51" s="25"/>
      <c r="C51" s="25"/>
      <c r="H51" s="42">
        <f t="shared" si="20"/>
        <v>2059</v>
      </c>
      <c r="I51" s="48" t="e">
        <f>((1+$C$49)^(H51-#REF!))-1</f>
        <v>#REF!</v>
      </c>
      <c r="J51" s="177">
        <f t="shared" si="16"/>
        <v>0</v>
      </c>
      <c r="K51" s="177">
        <f t="shared" si="17"/>
        <v>0</v>
      </c>
      <c r="L51" s="178">
        <f t="shared" si="18"/>
        <v>0</v>
      </c>
      <c r="M51" s="179">
        <f t="shared" si="21"/>
        <v>0</v>
      </c>
      <c r="N51" s="177">
        <f t="shared" si="22"/>
        <v>0</v>
      </c>
      <c r="O51" s="178">
        <f t="shared" si="23"/>
        <v>0</v>
      </c>
      <c r="P51" s="176">
        <f t="shared" ref="P51" si="38">ABS(J51-M51)</f>
        <v>0</v>
      </c>
      <c r="Q51" s="179">
        <f t="shared" ref="Q51" si="39">ABS(K51-N51)</f>
        <v>0</v>
      </c>
      <c r="R51" s="178">
        <f t="shared" ref="R51" si="40">ABS(L51-O51)</f>
        <v>0</v>
      </c>
      <c r="S51" s="68">
        <f t="shared" ref="S51" si="41">((P51*$B$12)+(Q51*$B$13)+(R51*$B$14))</f>
        <v>0</v>
      </c>
      <c r="T51" s="40"/>
    </row>
    <row r="52" spans="1:26" ht="15" customHeight="1" thickBot="1" x14ac:dyDescent="0.35">
      <c r="A52" s="25"/>
      <c r="B52" s="25"/>
      <c r="C52" s="25"/>
      <c r="H52" s="43">
        <f t="shared" si="20"/>
        <v>2060</v>
      </c>
      <c r="I52" s="321" t="e">
        <f>((1+$C$49)^(H52-#REF!))-1</f>
        <v>#REF!</v>
      </c>
      <c r="J52" s="322">
        <f t="shared" ref="J52" si="42">C$24</f>
        <v>0</v>
      </c>
      <c r="K52" s="322">
        <f t="shared" ref="K52" si="43">C$25</f>
        <v>0</v>
      </c>
      <c r="L52" s="323">
        <f t="shared" ref="L52" si="44">C$26</f>
        <v>0</v>
      </c>
      <c r="M52" s="325">
        <f t="shared" ref="M52" si="45">ROUNDUP(J52*$B$48,2)</f>
        <v>0</v>
      </c>
      <c r="N52" s="322">
        <f t="shared" ref="N52" si="46">ROUNDUP(K52*$B$48,2)</f>
        <v>0</v>
      </c>
      <c r="O52" s="323">
        <f t="shared" ref="O52" si="47">ROUNDUP(L52*$B$48,2)</f>
        <v>0</v>
      </c>
      <c r="P52" s="324">
        <f t="shared" ref="P52" si="48">ABS(J52-M52)</f>
        <v>0</v>
      </c>
      <c r="Q52" s="325">
        <f t="shared" ref="Q52" si="49">ABS(K52-N52)</f>
        <v>0</v>
      </c>
      <c r="R52" s="323">
        <f t="shared" ref="R52" si="50">ABS(L52-O52)</f>
        <v>0</v>
      </c>
      <c r="S52" s="326">
        <f t="shared" ref="S52" si="51">((P52*$B$12)+(Q52*$B$13)+(R52*$B$14))</f>
        <v>0</v>
      </c>
      <c r="T52" s="40"/>
    </row>
    <row r="53" spans="1:26" ht="15" thickBot="1" x14ac:dyDescent="0.35">
      <c r="B53" s="25"/>
      <c r="C53" s="25"/>
      <c r="H53" s="59"/>
      <c r="I53" s="60"/>
      <c r="J53" s="59"/>
      <c r="K53" s="61"/>
      <c r="L53" s="61"/>
      <c r="M53" s="61"/>
      <c r="N53" s="61"/>
      <c r="O53" s="61"/>
      <c r="R53" s="58" t="s">
        <v>10</v>
      </c>
      <c r="S53" s="57">
        <f>SUM(S14:S52)</f>
        <v>0</v>
      </c>
      <c r="T53" s="40"/>
    </row>
    <row r="54" spans="1:26" x14ac:dyDescent="0.3">
      <c r="B54" s="25"/>
      <c r="C54" s="25"/>
      <c r="T54" s="40"/>
    </row>
    <row r="55" spans="1:26" x14ac:dyDescent="0.3">
      <c r="A55" s="25"/>
      <c r="B55" s="25"/>
      <c r="C55" s="25"/>
      <c r="T55" s="40"/>
    </row>
    <row r="56" spans="1:26" x14ac:dyDescent="0.3">
      <c r="A56" s="25"/>
      <c r="B56" s="25"/>
      <c r="C56" s="25"/>
      <c r="H56" s="59"/>
      <c r="I56" s="60"/>
      <c r="J56" s="59"/>
      <c r="K56" s="61"/>
      <c r="L56" s="61"/>
      <c r="M56" s="61"/>
      <c r="N56" s="61"/>
      <c r="O56" s="61"/>
      <c r="T56" s="40"/>
    </row>
    <row r="57" spans="1:26" x14ac:dyDescent="0.3">
      <c r="A57" s="25"/>
      <c r="B57" s="25"/>
      <c r="C57" s="25"/>
      <c r="H57" s="59"/>
      <c r="I57" s="60"/>
      <c r="J57" s="59"/>
      <c r="K57" s="61"/>
      <c r="L57" s="61"/>
      <c r="M57" s="61"/>
      <c r="N57" s="61"/>
      <c r="O57" s="61"/>
      <c r="T57" s="40"/>
    </row>
    <row r="58" spans="1:26" x14ac:dyDescent="0.3">
      <c r="B58" s="25"/>
      <c r="C58" s="25"/>
      <c r="J58" s="61"/>
      <c r="K58" s="61"/>
      <c r="L58" s="61"/>
      <c r="M58" s="61"/>
      <c r="N58" s="61"/>
      <c r="O58" s="61"/>
      <c r="T58" s="40"/>
    </row>
    <row r="59" spans="1:26" x14ac:dyDescent="0.3">
      <c r="A59" s="25"/>
      <c r="B59" s="25"/>
      <c r="C59" s="25"/>
      <c r="J59" s="59"/>
      <c r="K59" s="61"/>
      <c r="L59" s="61"/>
      <c r="M59" s="61"/>
      <c r="N59" s="61"/>
      <c r="O59" s="61"/>
      <c r="T59" s="40"/>
    </row>
    <row r="60" spans="1:26" x14ac:dyDescent="0.3">
      <c r="B60" s="25"/>
      <c r="C60" s="25"/>
      <c r="J60" s="59"/>
      <c r="K60" s="61"/>
      <c r="L60" s="61"/>
      <c r="M60" s="61"/>
      <c r="N60" s="61"/>
      <c r="O60" s="61"/>
      <c r="T60" s="40"/>
    </row>
    <row r="61" spans="1:26" x14ac:dyDescent="0.3">
      <c r="A61" s="25"/>
      <c r="B61" s="25"/>
      <c r="C61" s="25"/>
      <c r="J61" s="59"/>
      <c r="K61" s="61"/>
      <c r="L61" s="61"/>
      <c r="M61" s="61"/>
      <c r="N61" s="61"/>
      <c r="O61" s="61"/>
      <c r="T61" s="40"/>
    </row>
    <row r="62" spans="1:26" x14ac:dyDescent="0.3">
      <c r="B62" s="25"/>
      <c r="C62" s="25"/>
      <c r="J62" s="59"/>
      <c r="K62" s="61"/>
      <c r="L62" s="61"/>
      <c r="M62" s="61"/>
      <c r="N62" s="61"/>
      <c r="O62" s="61"/>
      <c r="T62" s="40"/>
    </row>
    <row r="63" spans="1:26" x14ac:dyDescent="0.3">
      <c r="A63" s="25"/>
      <c r="B63" s="25"/>
      <c r="C63" s="25"/>
      <c r="J63" s="59"/>
      <c r="K63" s="61"/>
      <c r="L63" s="61"/>
      <c r="M63" s="61"/>
      <c r="N63" s="61"/>
      <c r="O63" s="61"/>
      <c r="T63" s="40"/>
    </row>
    <row r="64" spans="1:26" x14ac:dyDescent="0.3">
      <c r="A64" s="25"/>
      <c r="B64" s="25"/>
      <c r="C64" s="25"/>
      <c r="J64" s="59"/>
      <c r="K64" s="61"/>
      <c r="L64" s="61"/>
      <c r="M64" s="61"/>
      <c r="N64" s="61"/>
      <c r="O64" s="61"/>
      <c r="T64" s="40"/>
    </row>
    <row r="65" spans="1:20" x14ac:dyDescent="0.3">
      <c r="B65" s="25"/>
      <c r="C65" s="25"/>
      <c r="H65" s="59"/>
      <c r="I65" s="60"/>
      <c r="J65" s="59"/>
      <c r="K65" s="61"/>
      <c r="L65" s="61"/>
      <c r="M65" s="61"/>
      <c r="N65" s="61"/>
      <c r="O65" s="61"/>
      <c r="T65" s="40"/>
    </row>
    <row r="66" spans="1:20" x14ac:dyDescent="0.3">
      <c r="A66" s="25"/>
      <c r="B66" s="25"/>
      <c r="C66" s="25"/>
      <c r="H66" s="59"/>
      <c r="I66" s="62"/>
      <c r="J66" s="63"/>
      <c r="K66" s="63"/>
      <c r="L66" s="61"/>
      <c r="M66" s="61"/>
      <c r="N66" s="61"/>
      <c r="O66" s="61"/>
      <c r="P66" s="56"/>
      <c r="Q66" s="40"/>
      <c r="R66" s="40"/>
      <c r="S66" s="40"/>
      <c r="T66" s="40"/>
    </row>
    <row r="67" spans="1:20" x14ac:dyDescent="0.3">
      <c r="B67" s="25"/>
      <c r="C67" s="25"/>
      <c r="H67" s="59"/>
      <c r="I67" s="62"/>
      <c r="J67" s="59"/>
      <c r="K67" s="63"/>
      <c r="L67" s="61"/>
      <c r="M67" s="61"/>
      <c r="N67" s="61"/>
      <c r="O67" s="61"/>
      <c r="P67" s="64"/>
      <c r="T67" s="40"/>
    </row>
    <row r="68" spans="1:20" x14ac:dyDescent="0.3">
      <c r="A68" s="25"/>
      <c r="B68" s="25"/>
      <c r="C68" s="25"/>
      <c r="H68" s="59"/>
      <c r="I68" s="62"/>
      <c r="J68" s="59"/>
      <c r="K68" s="63"/>
      <c r="L68" s="61"/>
      <c r="M68" s="61"/>
      <c r="N68" s="61"/>
      <c r="O68" s="61"/>
      <c r="T68" s="40"/>
    </row>
    <row r="69" spans="1:20" x14ac:dyDescent="0.3">
      <c r="B69" s="25"/>
      <c r="C69" s="25"/>
      <c r="H69" s="59"/>
      <c r="I69" s="62"/>
      <c r="J69" s="59"/>
      <c r="K69" s="63"/>
      <c r="L69" s="61"/>
      <c r="M69" s="61"/>
      <c r="N69" s="61"/>
      <c r="O69" s="61"/>
      <c r="T69" s="40"/>
    </row>
    <row r="70" spans="1:20" ht="15" customHeight="1" x14ac:dyDescent="0.3">
      <c r="A70" s="25"/>
      <c r="B70" s="25"/>
      <c r="C70" s="25"/>
      <c r="H70" s="59"/>
      <c r="I70" s="62"/>
      <c r="J70" s="59"/>
      <c r="K70" s="63"/>
      <c r="L70" s="61"/>
      <c r="M70" s="61"/>
      <c r="N70" s="61"/>
      <c r="O70" s="61"/>
      <c r="T70" s="40"/>
    </row>
    <row r="71" spans="1:20" x14ac:dyDescent="0.3">
      <c r="B71" s="25"/>
      <c r="C71" s="25"/>
      <c r="H71" s="59"/>
      <c r="I71" s="62"/>
      <c r="J71" s="59"/>
      <c r="K71" s="63"/>
      <c r="L71" s="61"/>
      <c r="M71" s="61"/>
      <c r="N71" s="61"/>
      <c r="O71" s="61"/>
      <c r="T71" s="40"/>
    </row>
    <row r="72" spans="1:20" x14ac:dyDescent="0.3">
      <c r="H72" s="59"/>
      <c r="I72" s="62"/>
      <c r="J72" s="59"/>
      <c r="K72" s="63"/>
      <c r="L72" s="61"/>
      <c r="M72" s="61"/>
      <c r="N72" s="61"/>
      <c r="O72" s="61"/>
    </row>
    <row r="73" spans="1:20" x14ac:dyDescent="0.3">
      <c r="H73" s="59"/>
      <c r="I73" s="62"/>
      <c r="J73" s="59"/>
      <c r="K73" s="63"/>
      <c r="L73" s="61"/>
      <c r="M73" s="61"/>
      <c r="N73" s="61"/>
      <c r="O73" s="61"/>
    </row>
    <row r="74" spans="1:20" x14ac:dyDescent="0.3">
      <c r="H74" s="59"/>
      <c r="I74" s="62"/>
      <c r="J74" s="59"/>
      <c r="K74" s="63"/>
      <c r="L74" s="61"/>
      <c r="M74" s="61"/>
      <c r="N74" s="61"/>
      <c r="O74" s="61"/>
    </row>
    <row r="75" spans="1:20" x14ac:dyDescent="0.3">
      <c r="H75" s="59"/>
      <c r="I75" s="62"/>
      <c r="J75" s="59"/>
      <c r="K75" s="63"/>
      <c r="L75" s="61"/>
      <c r="M75" s="61"/>
      <c r="N75" s="61"/>
      <c r="O75" s="61"/>
    </row>
    <row r="76" spans="1:20" x14ac:dyDescent="0.3">
      <c r="H76" s="59"/>
      <c r="I76" s="62"/>
      <c r="J76" s="59"/>
      <c r="K76" s="63"/>
      <c r="L76" s="61"/>
      <c r="M76" s="61"/>
      <c r="N76" s="61"/>
      <c r="O76" s="61"/>
      <c r="P76" s="40"/>
      <c r="Q76" s="40"/>
      <c r="R76" s="40"/>
      <c r="S76" s="40"/>
    </row>
    <row r="77" spans="1:20" x14ac:dyDescent="0.3">
      <c r="H77" s="59"/>
      <c r="I77" s="62"/>
      <c r="J77" s="59"/>
      <c r="K77" s="63"/>
      <c r="L77" s="61"/>
      <c r="M77" s="61"/>
      <c r="N77" s="61"/>
      <c r="O77" s="61"/>
      <c r="P77" s="40"/>
      <c r="Q77" s="40"/>
      <c r="R77" s="40"/>
      <c r="S77" s="40"/>
    </row>
    <row r="78" spans="1:20" x14ac:dyDescent="0.3">
      <c r="H78" s="59"/>
      <c r="I78" s="62"/>
      <c r="J78" s="59"/>
      <c r="K78" s="63"/>
      <c r="L78" s="61"/>
      <c r="M78" s="61"/>
      <c r="N78" s="61"/>
      <c r="O78" s="61"/>
      <c r="P78" s="40"/>
      <c r="Q78" s="40"/>
      <c r="R78" s="40"/>
      <c r="S78" s="40"/>
    </row>
    <row r="79" spans="1:20" x14ac:dyDescent="0.3">
      <c r="H79" s="59"/>
      <c r="I79" s="62"/>
      <c r="J79" s="59"/>
      <c r="K79" s="63"/>
      <c r="L79" s="61"/>
      <c r="M79" s="61"/>
      <c r="N79" s="61"/>
      <c r="O79" s="61"/>
      <c r="P79" s="40"/>
      <c r="Q79" s="40"/>
      <c r="R79" s="40"/>
      <c r="S79" s="40"/>
    </row>
    <row r="80" spans="1:20" x14ac:dyDescent="0.3">
      <c r="H80" s="59"/>
      <c r="I80" s="62"/>
      <c r="J80" s="59"/>
      <c r="K80" s="63"/>
      <c r="L80" s="61"/>
      <c r="M80" s="61"/>
      <c r="N80" s="61"/>
      <c r="O80" s="61"/>
      <c r="P80" s="40"/>
      <c r="Q80" s="40"/>
      <c r="R80" s="40"/>
      <c r="S80" s="40"/>
    </row>
    <row r="81" spans="8:19" x14ac:dyDescent="0.3">
      <c r="H81" s="65"/>
      <c r="P81" s="40"/>
      <c r="Q81" s="40"/>
      <c r="R81" s="40"/>
      <c r="S81" s="40"/>
    </row>
    <row r="82" spans="8:19" x14ac:dyDescent="0.3">
      <c r="P82" s="40"/>
      <c r="Q82" s="40"/>
      <c r="R82" s="40"/>
      <c r="S82" s="40"/>
    </row>
  </sheetData>
  <mergeCells count="28">
    <mergeCell ref="A35:C35"/>
    <mergeCell ref="A36:B36"/>
    <mergeCell ref="A37:F40"/>
    <mergeCell ref="A2:L2"/>
    <mergeCell ref="N2:P2"/>
    <mergeCell ref="A3:L3"/>
    <mergeCell ref="A4:L4"/>
    <mergeCell ref="A5:L5"/>
    <mergeCell ref="A21:B22"/>
    <mergeCell ref="C21:C22"/>
    <mergeCell ref="A29:C29"/>
    <mergeCell ref="A30:B30"/>
    <mergeCell ref="A31:F33"/>
    <mergeCell ref="S11:S13"/>
    <mergeCell ref="H12:H13"/>
    <mergeCell ref="I12:I13"/>
    <mergeCell ref="P11:R11"/>
    <mergeCell ref="J12:J13"/>
    <mergeCell ref="K12:K13"/>
    <mergeCell ref="L12:L13"/>
    <mergeCell ref="H11:L11"/>
    <mergeCell ref="M12:M13"/>
    <mergeCell ref="N12:N13"/>
    <mergeCell ref="O12:O13"/>
    <mergeCell ref="P12:P13"/>
    <mergeCell ref="Q12:Q13"/>
    <mergeCell ref="R12:R13"/>
    <mergeCell ref="M11:O11"/>
  </mergeCells>
  <hyperlinks>
    <hyperlink ref="B34" r:id="rId1" xr:uid="{96D65D77-2519-4005-B848-80F128B6B327}"/>
    <hyperlink ref="A4" r:id="rId2" xr:uid="{8822E007-3314-439A-B4E9-A691C1F9AC28}"/>
  </hyperlinks>
  <pageMargins left="0.35" right="0.2" top="0.75" bottom="0.75" header="0.3" footer="0.3"/>
  <pageSetup paperSize="133" scale="5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C17C-DC59-4CE9-AC77-C1DD5F9A429C}">
  <sheetPr>
    <tabColor rgb="FF0070C0"/>
    <pageSetUpPr fitToPage="1"/>
  </sheetPr>
  <dimension ref="A1:BX45"/>
  <sheetViews>
    <sheetView showGridLines="0" view="pageBreakPreview" topLeftCell="A9" zoomScale="85" zoomScaleNormal="100" zoomScaleSheetLayoutView="85" workbookViewId="0">
      <selection activeCell="AB24" sqref="AB24"/>
    </sheetView>
  </sheetViews>
  <sheetFormatPr defaultColWidth="3.6640625" defaultRowHeight="18.75" customHeight="1" x14ac:dyDescent="0.25"/>
  <cols>
    <col min="1" max="1" width="4.88671875" style="209" customWidth="1"/>
    <col min="2" max="31" width="3.33203125" style="209" customWidth="1"/>
    <col min="32" max="32" width="1.33203125" style="209" customWidth="1"/>
    <col min="33" max="39" width="3.6640625" style="209"/>
    <col min="40" max="40" width="24.109375" style="209" bestFit="1" customWidth="1"/>
    <col min="41" max="41" width="17.88671875" style="209" bestFit="1" customWidth="1"/>
    <col min="42" max="42" width="12" style="209" bestFit="1" customWidth="1"/>
    <col min="43" max="43" width="18.44140625" style="209" bestFit="1" customWidth="1"/>
    <col min="44" max="44" width="17.6640625" style="209" bestFit="1" customWidth="1"/>
    <col min="45" max="75" width="3.6640625" style="209"/>
    <col min="76" max="76" width="15.33203125" style="209" bestFit="1" customWidth="1"/>
    <col min="77" max="16384" width="3.6640625" style="209"/>
  </cols>
  <sheetData>
    <row r="1" spans="1:44" ht="5.4" customHeight="1" x14ac:dyDescent="0.25">
      <c r="A1" s="232"/>
      <c r="B1" s="230"/>
      <c r="C1" s="230"/>
      <c r="D1" s="230"/>
      <c r="E1" s="230"/>
      <c r="F1" s="232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10"/>
    </row>
    <row r="2" spans="1:44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226"/>
      <c r="Q2" s="226"/>
      <c r="R2" s="226" t="s">
        <v>118</v>
      </c>
      <c r="S2" s="225"/>
      <c r="T2" s="486" t="s">
        <v>249</v>
      </c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210"/>
    </row>
    <row r="3" spans="1:44" ht="14.25" customHeight="1" x14ac:dyDescent="0.25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226"/>
      <c r="Q3" s="226"/>
      <c r="R3" s="226" t="s">
        <v>116</v>
      </c>
      <c r="S3" s="210"/>
      <c r="T3" s="228"/>
      <c r="U3" s="231"/>
      <c r="V3" s="482">
        <f ca="1">_xlfn.SHEET()-1</f>
        <v>1</v>
      </c>
      <c r="W3" s="482"/>
      <c r="X3" s="482"/>
      <c r="Y3" s="482"/>
      <c r="Z3" s="487" t="s">
        <v>115</v>
      </c>
      <c r="AA3" s="487"/>
      <c r="AB3" s="482">
        <f ca="1">_xlfn.SHEETS()-2</f>
        <v>10</v>
      </c>
      <c r="AC3" s="482"/>
      <c r="AD3" s="482"/>
      <c r="AE3" s="482"/>
      <c r="AF3" s="210"/>
    </row>
    <row r="4" spans="1:44" ht="14.25" customHeight="1" x14ac:dyDescent="0.25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226"/>
      <c r="Q4" s="226"/>
      <c r="R4" s="226" t="s">
        <v>113</v>
      </c>
      <c r="S4" s="210"/>
      <c r="T4" s="226"/>
      <c r="U4" s="224"/>
      <c r="V4" s="482" t="s">
        <v>252</v>
      </c>
      <c r="W4" s="482"/>
      <c r="X4" s="482"/>
      <c r="Y4" s="482"/>
      <c r="Z4" s="224" t="s">
        <v>111</v>
      </c>
      <c r="AA4" s="224"/>
      <c r="AB4" s="485">
        <v>45114</v>
      </c>
      <c r="AC4" s="485"/>
      <c r="AD4" s="485"/>
      <c r="AE4" s="485"/>
      <c r="AF4" s="210"/>
    </row>
    <row r="5" spans="1:44" ht="14.25" customHeight="1" x14ac:dyDescent="0.25">
      <c r="A5" s="210"/>
      <c r="B5" s="230"/>
      <c r="C5" s="229"/>
      <c r="D5" s="229"/>
      <c r="E5" s="229"/>
      <c r="F5" s="210"/>
      <c r="G5" s="227"/>
      <c r="H5" s="229"/>
      <c r="I5" s="229"/>
      <c r="J5" s="229"/>
      <c r="K5" s="229"/>
      <c r="L5" s="229"/>
      <c r="M5" s="229"/>
      <c r="N5" s="226"/>
      <c r="O5" s="226"/>
      <c r="P5" s="226"/>
      <c r="Q5" s="226"/>
      <c r="R5" s="226" t="s">
        <v>112</v>
      </c>
      <c r="S5" s="210"/>
      <c r="T5" s="226"/>
      <c r="U5" s="228"/>
      <c r="V5" s="482" t="s">
        <v>265</v>
      </c>
      <c r="W5" s="482"/>
      <c r="X5" s="482"/>
      <c r="Y5" s="482"/>
      <c r="Z5" s="224" t="s">
        <v>111</v>
      </c>
      <c r="AA5" s="224"/>
      <c r="AB5" s="483">
        <v>45118</v>
      </c>
      <c r="AC5" s="484"/>
      <c r="AD5" s="484"/>
      <c r="AE5" s="484"/>
      <c r="AF5" s="210"/>
    </row>
    <row r="6" spans="1:44" ht="14.25" customHeight="1" x14ac:dyDescent="0.25">
      <c r="A6" s="210"/>
      <c r="C6" s="227"/>
      <c r="D6" s="227"/>
      <c r="E6" s="227"/>
      <c r="F6" s="210"/>
      <c r="G6" s="227"/>
      <c r="H6" s="227"/>
      <c r="I6" s="227"/>
      <c r="J6" s="227"/>
      <c r="K6" s="227"/>
      <c r="L6" s="227"/>
      <c r="M6" s="227"/>
      <c r="N6" s="226"/>
      <c r="O6" s="226"/>
      <c r="P6" s="226"/>
      <c r="Q6" s="226"/>
      <c r="R6" s="226" t="s">
        <v>110</v>
      </c>
      <c r="S6" s="225"/>
      <c r="T6" s="225"/>
      <c r="U6" s="225"/>
      <c r="V6" s="482">
        <v>18683.060000000001</v>
      </c>
      <c r="W6" s="482"/>
      <c r="X6" s="482"/>
      <c r="Y6" s="482"/>
      <c r="Z6" s="224" t="s">
        <v>109</v>
      </c>
      <c r="AA6" s="224"/>
      <c r="AB6" s="482" t="s">
        <v>158</v>
      </c>
      <c r="AC6" s="482"/>
      <c r="AD6" s="482"/>
      <c r="AE6" s="482"/>
      <c r="AF6" s="210"/>
    </row>
    <row r="7" spans="1:44" ht="4.5" customHeight="1" thickBo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10"/>
    </row>
    <row r="8" spans="1:44" ht="18.75" customHeight="1" x14ac:dyDescent="0.25">
      <c r="A8" s="210"/>
      <c r="B8" s="222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0"/>
      <c r="AF8" s="210"/>
    </row>
    <row r="9" spans="1:44" ht="18.75" customHeight="1" x14ac:dyDescent="0.25">
      <c r="A9" s="210"/>
      <c r="B9" s="216"/>
      <c r="C9" s="215"/>
      <c r="D9" s="497" t="s">
        <v>129</v>
      </c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9"/>
      <c r="AD9" s="215"/>
      <c r="AE9" s="214"/>
      <c r="AF9" s="210"/>
    </row>
    <row r="10" spans="1:44" ht="18.75" customHeight="1" x14ac:dyDescent="0.25">
      <c r="A10" s="210"/>
      <c r="B10" s="216"/>
      <c r="C10" s="215"/>
      <c r="D10" s="500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2"/>
      <c r="AD10" s="215"/>
      <c r="AE10" s="214"/>
      <c r="AF10" s="210"/>
    </row>
    <row r="11" spans="1:44" ht="18.75" customHeight="1" x14ac:dyDescent="0.25">
      <c r="A11" s="210"/>
      <c r="B11" s="216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4"/>
      <c r="AF11" s="210"/>
      <c r="AN11" s="209" t="s">
        <v>227</v>
      </c>
      <c r="AO11" s="209" t="s">
        <v>228</v>
      </c>
      <c r="AQ11" s="209" t="s">
        <v>229</v>
      </c>
      <c r="AR11" s="209" t="s">
        <v>230</v>
      </c>
    </row>
    <row r="12" spans="1:44" ht="18.75" customHeight="1" x14ac:dyDescent="0.25">
      <c r="A12" s="210"/>
      <c r="B12" s="216"/>
      <c r="C12" s="218"/>
      <c r="D12" s="215" t="s">
        <v>120</v>
      </c>
      <c r="E12" s="215"/>
      <c r="F12" s="215"/>
      <c r="G12" s="215"/>
      <c r="H12" s="215"/>
      <c r="I12" s="215"/>
      <c r="J12" s="215"/>
      <c r="K12" s="233" t="s">
        <v>124</v>
      </c>
      <c r="L12" s="494">
        <v>2023</v>
      </c>
      <c r="M12" s="495"/>
      <c r="N12" s="495"/>
      <c r="O12" s="495"/>
      <c r="P12" s="496"/>
      <c r="Q12" s="215"/>
      <c r="R12" s="215"/>
      <c r="S12" s="215"/>
      <c r="T12" s="215"/>
      <c r="U12" s="215" t="s">
        <v>143</v>
      </c>
      <c r="V12" s="215"/>
      <c r="W12" s="215"/>
      <c r="X12" s="215"/>
      <c r="Y12" s="215"/>
      <c r="Z12" s="488">
        <f>L19*0</f>
        <v>0</v>
      </c>
      <c r="AA12" s="489"/>
      <c r="AB12" s="489"/>
      <c r="AC12" s="489"/>
      <c r="AD12" s="490"/>
      <c r="AE12" s="214"/>
      <c r="AF12" s="210"/>
      <c r="AN12" s="209" t="s">
        <v>231</v>
      </c>
      <c r="AO12" s="209" t="s">
        <v>232</v>
      </c>
      <c r="AP12" s="209" t="s">
        <v>233</v>
      </c>
      <c r="AQ12" s="394">
        <v>1809224</v>
      </c>
      <c r="AR12" s="394">
        <v>999854.23</v>
      </c>
    </row>
    <row r="13" spans="1:44" ht="18.75" customHeight="1" x14ac:dyDescent="0.25">
      <c r="A13" s="210"/>
      <c r="B13" s="216"/>
      <c r="C13" s="215"/>
      <c r="D13" s="215" t="s">
        <v>121</v>
      </c>
      <c r="E13" s="215"/>
      <c r="F13" s="215"/>
      <c r="G13" s="215"/>
      <c r="H13" s="215"/>
      <c r="I13" s="215"/>
      <c r="J13" s="215"/>
      <c r="K13" s="233" t="s">
        <v>124</v>
      </c>
      <c r="L13" s="494">
        <v>2024</v>
      </c>
      <c r="M13" s="495"/>
      <c r="N13" s="495"/>
      <c r="O13" s="495"/>
      <c r="P13" s="496"/>
      <c r="Q13" s="215"/>
      <c r="R13" s="215"/>
      <c r="S13" s="215"/>
      <c r="T13" s="215"/>
      <c r="U13" s="215" t="s">
        <v>141</v>
      </c>
      <c r="V13" s="215"/>
      <c r="W13" s="215"/>
      <c r="X13" s="215"/>
      <c r="Y13" s="215"/>
      <c r="Z13" s="488">
        <v>0</v>
      </c>
      <c r="AA13" s="489"/>
      <c r="AB13" s="489"/>
      <c r="AC13" s="489"/>
      <c r="AD13" s="490"/>
      <c r="AE13" s="214"/>
      <c r="AF13" s="210"/>
      <c r="AN13" s="209" t="s">
        <v>234</v>
      </c>
      <c r="AO13" s="209" t="s">
        <v>235</v>
      </c>
      <c r="AP13" s="209" t="s">
        <v>233</v>
      </c>
      <c r="AQ13" s="394">
        <v>2355374</v>
      </c>
      <c r="AR13" s="394">
        <v>1474395.17</v>
      </c>
    </row>
    <row r="14" spans="1:44" ht="18.75" customHeight="1" x14ac:dyDescent="0.25">
      <c r="A14" s="210"/>
      <c r="B14" s="216"/>
      <c r="C14" s="215"/>
      <c r="D14" s="215" t="s">
        <v>140</v>
      </c>
      <c r="E14" s="215"/>
      <c r="F14" s="215"/>
      <c r="G14" s="215"/>
      <c r="H14" s="215"/>
      <c r="I14" s="215"/>
      <c r="J14" s="215"/>
      <c r="K14" s="233" t="s">
        <v>124</v>
      </c>
      <c r="L14" s="488">
        <f>SUM(Z12:AD15)</f>
        <v>0</v>
      </c>
      <c r="M14" s="489"/>
      <c r="N14" s="489"/>
      <c r="O14" s="489"/>
      <c r="P14" s="490"/>
      <c r="Q14" s="215"/>
      <c r="R14" s="215"/>
      <c r="S14" s="217"/>
      <c r="T14" s="215"/>
      <c r="U14" s="215" t="s">
        <v>142</v>
      </c>
      <c r="V14" s="215"/>
      <c r="W14" s="215"/>
      <c r="X14" s="215"/>
      <c r="Y14" s="215"/>
      <c r="Z14" s="488">
        <v>0</v>
      </c>
      <c r="AA14" s="489"/>
      <c r="AB14" s="489"/>
      <c r="AC14" s="489"/>
      <c r="AD14" s="490"/>
      <c r="AE14" s="214"/>
      <c r="AF14" s="210"/>
      <c r="AN14" s="209" t="s">
        <v>236</v>
      </c>
      <c r="AO14" s="209" t="s">
        <v>237</v>
      </c>
      <c r="AP14" s="209" t="s">
        <v>233</v>
      </c>
      <c r="AQ14" s="394">
        <v>3103203</v>
      </c>
      <c r="AR14" s="394">
        <v>3245376.22</v>
      </c>
    </row>
    <row r="15" spans="1:44" ht="18.75" customHeight="1" x14ac:dyDescent="0.25">
      <c r="A15" s="210"/>
      <c r="B15" s="216"/>
      <c r="C15" s="215"/>
      <c r="D15" s="215" t="s">
        <v>125</v>
      </c>
      <c r="E15" s="215"/>
      <c r="F15" s="215"/>
      <c r="G15" s="215"/>
      <c r="H15" s="215"/>
      <c r="I15" s="215"/>
      <c r="J15" s="215"/>
      <c r="K15" s="233" t="s">
        <v>124</v>
      </c>
      <c r="L15" s="491">
        <f>L14/((L13-L12)+1)</f>
        <v>0</v>
      </c>
      <c r="M15" s="492"/>
      <c r="N15" s="492"/>
      <c r="O15" s="492"/>
      <c r="P15" s="493"/>
      <c r="Q15" s="215"/>
      <c r="R15" s="215"/>
      <c r="S15" s="217"/>
      <c r="T15" s="215"/>
      <c r="U15" s="272" t="s">
        <v>144</v>
      </c>
      <c r="V15" s="219"/>
      <c r="W15" s="215"/>
      <c r="X15" s="215"/>
      <c r="Y15" s="215"/>
      <c r="Z15" s="488">
        <v>0</v>
      </c>
      <c r="AA15" s="489"/>
      <c r="AB15" s="489"/>
      <c r="AC15" s="489"/>
      <c r="AD15" s="490"/>
      <c r="AE15" s="214"/>
      <c r="AF15" s="210"/>
      <c r="AN15" s="209" t="s">
        <v>238</v>
      </c>
      <c r="AO15" s="209" t="s">
        <v>239</v>
      </c>
      <c r="AP15" s="209" t="s">
        <v>233</v>
      </c>
      <c r="AQ15" s="394">
        <v>2371303</v>
      </c>
      <c r="AR15" s="394">
        <v>2306176.65</v>
      </c>
    </row>
    <row r="16" spans="1:44" ht="18.75" customHeight="1" x14ac:dyDescent="0.25">
      <c r="A16" s="210"/>
      <c r="B16" s="216"/>
      <c r="C16" s="219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7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4"/>
      <c r="AF16" s="210"/>
      <c r="AN16" s="209" t="s">
        <v>240</v>
      </c>
      <c r="AP16" s="209" t="s">
        <v>233</v>
      </c>
      <c r="AQ16" s="394">
        <v>3296650</v>
      </c>
      <c r="AR16" s="394">
        <v>2563442.91</v>
      </c>
    </row>
    <row r="17" spans="1:76" ht="18.75" customHeight="1" x14ac:dyDescent="0.25">
      <c r="A17" s="210"/>
      <c r="B17" s="216"/>
      <c r="C17" s="215"/>
      <c r="D17" s="215" t="s">
        <v>122</v>
      </c>
      <c r="E17" s="215"/>
      <c r="F17" s="215"/>
      <c r="G17" s="215"/>
      <c r="H17" s="215"/>
      <c r="I17" s="215"/>
      <c r="J17" s="215"/>
      <c r="K17" s="233" t="s">
        <v>124</v>
      </c>
      <c r="L17" s="494">
        <v>2025</v>
      </c>
      <c r="M17" s="495"/>
      <c r="N17" s="495"/>
      <c r="O17" s="495"/>
      <c r="P17" s="496"/>
      <c r="Q17" s="215"/>
      <c r="R17" s="215"/>
      <c r="S17" s="217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4"/>
      <c r="AF17" s="210"/>
    </row>
    <row r="18" spans="1:76" ht="18.75" customHeight="1" x14ac:dyDescent="0.25">
      <c r="A18" s="210"/>
      <c r="B18" s="216"/>
      <c r="C18" s="215"/>
      <c r="D18" s="215" t="s">
        <v>123</v>
      </c>
      <c r="E18" s="215"/>
      <c r="F18" s="215"/>
      <c r="G18" s="215"/>
      <c r="H18" s="215"/>
      <c r="I18" s="215"/>
      <c r="J18" s="215"/>
      <c r="K18" s="233" t="s">
        <v>124</v>
      </c>
      <c r="L18" s="494">
        <v>2026</v>
      </c>
      <c r="M18" s="495"/>
      <c r="N18" s="495"/>
      <c r="O18" s="495"/>
      <c r="P18" s="496"/>
      <c r="Q18" s="215"/>
      <c r="R18" s="215"/>
      <c r="S18" s="217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4"/>
      <c r="AF18" s="210"/>
      <c r="AP18" s="209" t="s">
        <v>10</v>
      </c>
      <c r="AQ18" s="394">
        <v>12935754</v>
      </c>
      <c r="AR18" s="394">
        <v>10589245.18</v>
      </c>
    </row>
    <row r="19" spans="1:76" ht="18.75" customHeight="1" x14ac:dyDescent="0.25">
      <c r="A19" s="210"/>
      <c r="B19" s="216"/>
      <c r="C19" s="215"/>
      <c r="D19" s="215" t="s">
        <v>126</v>
      </c>
      <c r="E19" s="215"/>
      <c r="F19" s="215"/>
      <c r="G19" s="215"/>
      <c r="H19" s="215"/>
      <c r="I19" s="215"/>
      <c r="J19" s="215"/>
      <c r="K19" s="233" t="s">
        <v>124</v>
      </c>
      <c r="L19" s="488">
        <f>ROUNDUP(AR18,-3)</f>
        <v>10590000</v>
      </c>
      <c r="M19" s="489"/>
      <c r="N19" s="489"/>
      <c r="O19" s="489"/>
      <c r="P19" s="490"/>
      <c r="Q19" s="215"/>
      <c r="R19" s="215"/>
      <c r="S19" s="217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4"/>
      <c r="AF19" s="210"/>
    </row>
    <row r="20" spans="1:76" ht="18.75" customHeight="1" x14ac:dyDescent="0.25">
      <c r="A20" s="210"/>
      <c r="B20" s="216"/>
      <c r="C20" s="218"/>
      <c r="D20" s="215" t="s">
        <v>127</v>
      </c>
      <c r="E20" s="215"/>
      <c r="F20" s="215"/>
      <c r="G20" s="215"/>
      <c r="H20" s="215"/>
      <c r="I20" s="215"/>
      <c r="J20" s="215"/>
      <c r="K20" s="233" t="s">
        <v>124</v>
      </c>
      <c r="L20" s="491">
        <f>L19/((L18-L17)+1)</f>
        <v>5295000</v>
      </c>
      <c r="M20" s="492"/>
      <c r="N20" s="492"/>
      <c r="O20" s="492"/>
      <c r="P20" s="493"/>
      <c r="Q20" s="215"/>
      <c r="R20" s="215"/>
      <c r="S20" s="217"/>
      <c r="T20" s="215"/>
      <c r="U20" s="217"/>
      <c r="V20" s="215"/>
      <c r="W20" s="215"/>
      <c r="X20" s="215"/>
      <c r="Y20" s="215"/>
      <c r="Z20" s="215"/>
      <c r="AA20" s="215"/>
      <c r="AB20" s="215"/>
      <c r="AC20" s="215"/>
      <c r="AD20" s="215"/>
      <c r="AE20" s="214"/>
      <c r="AF20" s="210"/>
      <c r="AQ20" s="358"/>
    </row>
    <row r="21" spans="1:76" ht="18.75" customHeight="1" x14ac:dyDescent="0.25">
      <c r="A21" s="210"/>
      <c r="B21" s="2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7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4"/>
      <c r="AF21" s="210"/>
    </row>
    <row r="22" spans="1:76" ht="18.75" customHeight="1" x14ac:dyDescent="0.25">
      <c r="A22" s="210"/>
      <c r="B22" s="216"/>
      <c r="C22" s="215"/>
      <c r="D22" s="215" t="s">
        <v>128</v>
      </c>
      <c r="E22" s="215"/>
      <c r="F22" s="215"/>
      <c r="G22" s="215"/>
      <c r="H22" s="215"/>
      <c r="I22" s="215"/>
      <c r="J22" s="215"/>
      <c r="K22" s="233" t="s">
        <v>124</v>
      </c>
      <c r="L22" s="494">
        <v>2026</v>
      </c>
      <c r="M22" s="495"/>
      <c r="N22" s="495"/>
      <c r="O22" s="495"/>
      <c r="P22" s="496"/>
      <c r="Q22" s="215"/>
      <c r="R22" s="215"/>
      <c r="S22" s="217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4"/>
      <c r="AF22" s="210"/>
    </row>
    <row r="23" spans="1:76" ht="18.75" customHeight="1" x14ac:dyDescent="0.25">
      <c r="A23" s="210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7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4"/>
      <c r="AF23" s="210"/>
    </row>
    <row r="24" spans="1:76" ht="18.75" customHeight="1" x14ac:dyDescent="0.25">
      <c r="A24" s="210"/>
      <c r="B24" s="216"/>
      <c r="C24" s="215"/>
      <c r="D24" s="219" t="s">
        <v>130</v>
      </c>
      <c r="E24" s="215"/>
      <c r="F24" s="215"/>
      <c r="G24" s="215"/>
      <c r="H24" s="215"/>
      <c r="I24" s="215"/>
      <c r="J24" s="215"/>
      <c r="K24" s="233" t="s">
        <v>124</v>
      </c>
      <c r="L24" s="503">
        <v>30</v>
      </c>
      <c r="M24" s="504"/>
      <c r="N24" s="504"/>
      <c r="O24" s="504"/>
      <c r="P24" s="50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4"/>
      <c r="AF24" s="210"/>
    </row>
    <row r="25" spans="1:76" ht="18.75" customHeight="1" x14ac:dyDescent="0.25">
      <c r="A25" s="210"/>
      <c r="B25" s="216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4"/>
      <c r="AF25" s="210"/>
    </row>
    <row r="26" spans="1:76" ht="18.75" customHeight="1" x14ac:dyDescent="0.25">
      <c r="A26" s="210"/>
      <c r="B26" s="216"/>
      <c r="C26" s="215"/>
      <c r="D26" s="219" t="s">
        <v>131</v>
      </c>
      <c r="E26" s="215"/>
      <c r="F26" s="215"/>
      <c r="G26" s="215"/>
      <c r="H26" s="215"/>
      <c r="I26" s="215"/>
      <c r="J26" s="215"/>
      <c r="K26" s="233" t="s">
        <v>124</v>
      </c>
      <c r="L26" s="503">
        <f>L22+L24</f>
        <v>2056</v>
      </c>
      <c r="M26" s="495"/>
      <c r="N26" s="495"/>
      <c r="O26" s="495"/>
      <c r="P26" s="496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4"/>
      <c r="AF26" s="210"/>
    </row>
    <row r="27" spans="1:76" ht="18.75" customHeight="1" thickBot="1" x14ac:dyDescent="0.3">
      <c r="A27" s="210"/>
      <c r="B27" s="216"/>
      <c r="C27" s="21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15"/>
      <c r="Z27" s="215"/>
      <c r="AA27" s="215"/>
      <c r="AB27" s="215"/>
      <c r="AC27" s="215"/>
      <c r="AD27" s="215"/>
      <c r="AE27" s="214"/>
      <c r="AF27" s="210"/>
    </row>
    <row r="28" spans="1:76" ht="18.75" customHeight="1" x14ac:dyDescent="0.25">
      <c r="A28" s="210"/>
      <c r="B28" s="216"/>
      <c r="C28" s="215"/>
      <c r="D28" s="506" t="s">
        <v>0</v>
      </c>
      <c r="E28" s="507"/>
      <c r="F28" s="507"/>
      <c r="G28" s="507" t="s">
        <v>22</v>
      </c>
      <c r="H28" s="507"/>
      <c r="I28" s="507"/>
      <c r="J28" s="514" t="s">
        <v>132</v>
      </c>
      <c r="K28" s="515"/>
      <c r="L28" s="515"/>
      <c r="M28" s="515"/>
      <c r="N28" s="515"/>
      <c r="O28" s="514" t="s">
        <v>126</v>
      </c>
      <c r="P28" s="515"/>
      <c r="Q28" s="515"/>
      <c r="R28" s="515"/>
      <c r="S28" s="515"/>
      <c r="T28" s="514" t="s">
        <v>133</v>
      </c>
      <c r="U28" s="515"/>
      <c r="V28" s="515"/>
      <c r="W28" s="515"/>
      <c r="X28" s="519"/>
      <c r="Y28" s="234"/>
      <c r="Z28" s="215"/>
      <c r="AA28" s="215"/>
      <c r="AB28" s="215"/>
      <c r="AC28" s="215"/>
      <c r="AD28" s="215"/>
      <c r="AE28" s="214"/>
      <c r="AF28" s="210"/>
    </row>
    <row r="29" spans="1:76" ht="18.75" customHeight="1" thickBot="1" x14ac:dyDescent="0.3">
      <c r="A29" s="210"/>
      <c r="B29" s="216"/>
      <c r="C29" s="215"/>
      <c r="D29" s="508"/>
      <c r="E29" s="509"/>
      <c r="F29" s="509"/>
      <c r="G29" s="509"/>
      <c r="H29" s="509"/>
      <c r="I29" s="509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  <c r="W29" s="516"/>
      <c r="X29" s="520"/>
      <c r="Y29" s="234"/>
      <c r="Z29" s="215"/>
      <c r="AA29" s="215"/>
      <c r="AB29" s="215"/>
      <c r="AC29" s="215"/>
      <c r="AD29" s="215"/>
      <c r="AE29" s="214"/>
      <c r="AF29" s="210"/>
    </row>
    <row r="30" spans="1:76" ht="18.75" customHeight="1" x14ac:dyDescent="0.3">
      <c r="A30" s="210"/>
      <c r="B30" s="216"/>
      <c r="C30" s="215"/>
      <c r="D30" s="510">
        <v>2023</v>
      </c>
      <c r="E30" s="511"/>
      <c r="F30" s="511"/>
      <c r="G30" s="511">
        <v>1</v>
      </c>
      <c r="H30" s="511"/>
      <c r="I30" s="511"/>
      <c r="J30" s="521">
        <f>$L$15</f>
        <v>0</v>
      </c>
      <c r="K30" s="521"/>
      <c r="L30" s="521"/>
      <c r="M30" s="521"/>
      <c r="N30" s="521"/>
      <c r="O30" s="521"/>
      <c r="P30" s="521"/>
      <c r="Q30" s="521"/>
      <c r="R30" s="521"/>
      <c r="S30" s="521"/>
      <c r="T30" s="521">
        <f>J30+O30</f>
        <v>0</v>
      </c>
      <c r="U30" s="521"/>
      <c r="V30" s="521"/>
      <c r="W30" s="521"/>
      <c r="X30" s="523"/>
      <c r="Y30" s="234"/>
      <c r="Z30" s="215"/>
      <c r="AA30" s="215"/>
      <c r="AB30" s="215"/>
      <c r="AC30" s="215"/>
      <c r="AD30" s="215"/>
      <c r="AE30" s="214"/>
      <c r="AF30" s="210"/>
      <c r="BX30" s="358"/>
    </row>
    <row r="31" spans="1:76" ht="18.75" customHeight="1" x14ac:dyDescent="0.3">
      <c r="A31" s="210"/>
      <c r="B31" s="216"/>
      <c r="C31" s="215"/>
      <c r="D31" s="512">
        <f t="shared" ref="D31:D43" si="0">1+D30:D30</f>
        <v>2024</v>
      </c>
      <c r="E31" s="513"/>
      <c r="F31" s="513"/>
      <c r="G31" s="513">
        <f t="shared" ref="G31:G43" si="1">G30+1</f>
        <v>2</v>
      </c>
      <c r="H31" s="513"/>
      <c r="I31" s="513"/>
      <c r="J31" s="522">
        <f>$L$15</f>
        <v>0</v>
      </c>
      <c r="K31" s="522"/>
      <c r="L31" s="522"/>
      <c r="M31" s="522"/>
      <c r="N31" s="522"/>
      <c r="O31" s="522"/>
      <c r="P31" s="522"/>
      <c r="Q31" s="522"/>
      <c r="R31" s="522"/>
      <c r="S31" s="522"/>
      <c r="T31" s="524">
        <f t="shared" ref="T31:T43" si="2">J31+O31</f>
        <v>0</v>
      </c>
      <c r="U31" s="524"/>
      <c r="V31" s="524"/>
      <c r="W31" s="524"/>
      <c r="X31" s="525"/>
      <c r="Y31" s="234"/>
      <c r="Z31" s="215"/>
      <c r="AA31" s="215"/>
      <c r="AB31" s="215"/>
      <c r="AC31" s="215"/>
      <c r="AD31" s="215"/>
      <c r="AE31" s="214"/>
      <c r="AF31" s="210"/>
    </row>
    <row r="32" spans="1:76" ht="18.75" customHeight="1" x14ac:dyDescent="0.3">
      <c r="A32" s="210"/>
      <c r="B32" s="216"/>
      <c r="C32" s="215"/>
      <c r="D32" s="512">
        <f t="shared" si="0"/>
        <v>2025</v>
      </c>
      <c r="E32" s="513"/>
      <c r="F32" s="513"/>
      <c r="G32" s="513">
        <f t="shared" si="1"/>
        <v>3</v>
      </c>
      <c r="H32" s="513"/>
      <c r="I32" s="513"/>
      <c r="J32" s="522"/>
      <c r="K32" s="522"/>
      <c r="L32" s="522"/>
      <c r="M32" s="522"/>
      <c r="N32" s="522"/>
      <c r="O32" s="522">
        <f t="shared" ref="O32:O33" si="3">$L$20</f>
        <v>5295000</v>
      </c>
      <c r="P32" s="522"/>
      <c r="Q32" s="522"/>
      <c r="R32" s="522"/>
      <c r="S32" s="522"/>
      <c r="T32" s="524">
        <f t="shared" si="2"/>
        <v>5295000</v>
      </c>
      <c r="U32" s="524"/>
      <c r="V32" s="524"/>
      <c r="W32" s="524"/>
      <c r="X32" s="525"/>
      <c r="Y32" s="234"/>
      <c r="Z32" s="215"/>
      <c r="AA32" s="215"/>
      <c r="AB32" s="215"/>
      <c r="AC32" s="215"/>
      <c r="AD32" s="215"/>
      <c r="AE32" s="214"/>
      <c r="AF32" s="210"/>
    </row>
    <row r="33" spans="1:32" ht="18.75" customHeight="1" x14ac:dyDescent="0.3">
      <c r="A33" s="210"/>
      <c r="B33" s="216"/>
      <c r="C33" s="215"/>
      <c r="D33" s="512">
        <f t="shared" si="0"/>
        <v>2026</v>
      </c>
      <c r="E33" s="513"/>
      <c r="F33" s="513"/>
      <c r="G33" s="513">
        <f t="shared" si="1"/>
        <v>4</v>
      </c>
      <c r="H33" s="513"/>
      <c r="I33" s="513"/>
      <c r="J33" s="522"/>
      <c r="K33" s="522"/>
      <c r="L33" s="522"/>
      <c r="M33" s="522"/>
      <c r="N33" s="522"/>
      <c r="O33" s="522">
        <f t="shared" si="3"/>
        <v>5295000</v>
      </c>
      <c r="P33" s="522"/>
      <c r="Q33" s="522"/>
      <c r="R33" s="522"/>
      <c r="S33" s="522"/>
      <c r="T33" s="524">
        <f t="shared" si="2"/>
        <v>5295000</v>
      </c>
      <c r="U33" s="524"/>
      <c r="V33" s="524"/>
      <c r="W33" s="524"/>
      <c r="X33" s="525"/>
      <c r="Y33" s="234"/>
      <c r="Z33" s="215"/>
      <c r="AA33" s="215"/>
      <c r="AB33" s="215"/>
      <c r="AC33" s="215"/>
      <c r="AD33" s="215"/>
      <c r="AE33" s="214"/>
      <c r="AF33" s="210"/>
    </row>
    <row r="34" spans="1:32" ht="18.75" customHeight="1" x14ac:dyDescent="0.3">
      <c r="A34" s="210"/>
      <c r="B34" s="216"/>
      <c r="C34" s="218"/>
      <c r="D34" s="512">
        <f t="shared" si="0"/>
        <v>2027</v>
      </c>
      <c r="E34" s="513"/>
      <c r="F34" s="513"/>
      <c r="G34" s="513">
        <f t="shared" si="1"/>
        <v>5</v>
      </c>
      <c r="H34" s="513"/>
      <c r="I34" s="513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24">
        <f t="shared" si="2"/>
        <v>0</v>
      </c>
      <c r="U34" s="524"/>
      <c r="V34" s="524"/>
      <c r="W34" s="524"/>
      <c r="X34" s="525"/>
      <c r="Y34" s="234"/>
      <c r="Z34" s="215"/>
      <c r="AA34" s="215"/>
      <c r="AB34" s="215"/>
      <c r="AC34" s="215"/>
      <c r="AD34" s="215"/>
      <c r="AE34" s="214"/>
      <c r="AF34" s="210"/>
    </row>
    <row r="35" spans="1:32" ht="18.75" customHeight="1" x14ac:dyDescent="0.3">
      <c r="A35" s="210"/>
      <c r="B35" s="216"/>
      <c r="C35" s="215"/>
      <c r="D35" s="512">
        <f t="shared" si="0"/>
        <v>2028</v>
      </c>
      <c r="E35" s="513"/>
      <c r="F35" s="513"/>
      <c r="G35" s="513">
        <f t="shared" si="1"/>
        <v>6</v>
      </c>
      <c r="H35" s="513"/>
      <c r="I35" s="513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4">
        <f t="shared" si="2"/>
        <v>0</v>
      </c>
      <c r="U35" s="524"/>
      <c r="V35" s="524"/>
      <c r="W35" s="524"/>
      <c r="X35" s="525"/>
      <c r="Y35" s="234"/>
      <c r="Z35" s="215"/>
      <c r="AA35" s="215"/>
      <c r="AB35" s="215"/>
      <c r="AC35" s="215"/>
      <c r="AD35" s="215"/>
      <c r="AE35" s="214"/>
      <c r="AF35" s="210"/>
    </row>
    <row r="36" spans="1:32" ht="18.75" customHeight="1" x14ac:dyDescent="0.3">
      <c r="A36" s="210"/>
      <c r="B36" s="216"/>
      <c r="C36" s="215"/>
      <c r="D36" s="512">
        <f t="shared" si="0"/>
        <v>2029</v>
      </c>
      <c r="E36" s="513"/>
      <c r="F36" s="513"/>
      <c r="G36" s="513">
        <f t="shared" si="1"/>
        <v>7</v>
      </c>
      <c r="H36" s="513"/>
      <c r="I36" s="513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4">
        <f t="shared" si="2"/>
        <v>0</v>
      </c>
      <c r="U36" s="524"/>
      <c r="V36" s="524"/>
      <c r="W36" s="524"/>
      <c r="X36" s="525"/>
      <c r="Y36" s="234"/>
      <c r="Z36" s="215"/>
      <c r="AA36" s="215"/>
      <c r="AB36" s="215"/>
      <c r="AC36" s="215"/>
      <c r="AD36" s="215"/>
      <c r="AE36" s="214"/>
      <c r="AF36" s="210"/>
    </row>
    <row r="37" spans="1:32" ht="18.75" customHeight="1" x14ac:dyDescent="0.3">
      <c r="A37" s="210"/>
      <c r="B37" s="216"/>
      <c r="C37" s="215"/>
      <c r="D37" s="512">
        <f t="shared" si="0"/>
        <v>2030</v>
      </c>
      <c r="E37" s="513"/>
      <c r="F37" s="513"/>
      <c r="G37" s="513">
        <f t="shared" si="1"/>
        <v>8</v>
      </c>
      <c r="H37" s="513"/>
      <c r="I37" s="513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4">
        <f t="shared" si="2"/>
        <v>0</v>
      </c>
      <c r="U37" s="524"/>
      <c r="V37" s="524"/>
      <c r="W37" s="524"/>
      <c r="X37" s="525"/>
      <c r="Y37" s="234"/>
      <c r="Z37" s="215"/>
      <c r="AA37" s="215"/>
      <c r="AB37" s="215"/>
      <c r="AC37" s="215"/>
      <c r="AD37" s="215"/>
      <c r="AE37" s="214"/>
      <c r="AF37" s="210"/>
    </row>
    <row r="38" spans="1:32" ht="18.75" customHeight="1" x14ac:dyDescent="0.3">
      <c r="A38" s="210"/>
      <c r="B38" s="216"/>
      <c r="C38" s="215"/>
      <c r="D38" s="512">
        <f t="shared" si="0"/>
        <v>2031</v>
      </c>
      <c r="E38" s="513"/>
      <c r="F38" s="513"/>
      <c r="G38" s="513">
        <f t="shared" si="1"/>
        <v>9</v>
      </c>
      <c r="H38" s="513"/>
      <c r="I38" s="513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4">
        <f t="shared" si="2"/>
        <v>0</v>
      </c>
      <c r="U38" s="524"/>
      <c r="V38" s="524"/>
      <c r="W38" s="524"/>
      <c r="X38" s="525"/>
      <c r="Y38" s="234"/>
      <c r="Z38" s="215"/>
      <c r="AA38" s="215"/>
      <c r="AB38" s="215"/>
      <c r="AC38" s="215"/>
      <c r="AD38" s="215"/>
      <c r="AE38" s="214"/>
      <c r="AF38" s="210"/>
    </row>
    <row r="39" spans="1:32" ht="18.75" customHeight="1" x14ac:dyDescent="0.3">
      <c r="A39" s="210"/>
      <c r="B39" s="216"/>
      <c r="C39" s="215"/>
      <c r="D39" s="512">
        <f t="shared" si="0"/>
        <v>2032</v>
      </c>
      <c r="E39" s="513"/>
      <c r="F39" s="513"/>
      <c r="G39" s="513">
        <f t="shared" si="1"/>
        <v>10</v>
      </c>
      <c r="H39" s="513"/>
      <c r="I39" s="513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4">
        <f t="shared" si="2"/>
        <v>0</v>
      </c>
      <c r="U39" s="524"/>
      <c r="V39" s="524"/>
      <c r="W39" s="524"/>
      <c r="X39" s="525"/>
      <c r="Y39" s="234"/>
      <c r="Z39" s="215"/>
      <c r="AA39" s="215"/>
      <c r="AB39" s="215"/>
      <c r="AC39" s="215"/>
      <c r="AD39" s="215"/>
      <c r="AE39" s="214"/>
      <c r="AF39" s="210"/>
    </row>
    <row r="40" spans="1:32" ht="18.75" customHeight="1" x14ac:dyDescent="0.3">
      <c r="A40" s="210"/>
      <c r="B40" s="216"/>
      <c r="C40" s="215"/>
      <c r="D40" s="512">
        <f t="shared" si="0"/>
        <v>2033</v>
      </c>
      <c r="E40" s="513"/>
      <c r="F40" s="513"/>
      <c r="G40" s="513">
        <f t="shared" si="1"/>
        <v>11</v>
      </c>
      <c r="H40" s="513"/>
      <c r="I40" s="513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4">
        <f t="shared" si="2"/>
        <v>0</v>
      </c>
      <c r="U40" s="524"/>
      <c r="V40" s="524"/>
      <c r="W40" s="524"/>
      <c r="X40" s="525"/>
      <c r="Y40" s="234"/>
      <c r="Z40" s="215"/>
      <c r="AA40" s="215"/>
      <c r="AB40" s="215"/>
      <c r="AC40" s="215"/>
      <c r="AD40" s="215"/>
      <c r="AE40" s="214"/>
      <c r="AF40" s="210"/>
    </row>
    <row r="41" spans="1:32" ht="18.75" customHeight="1" x14ac:dyDescent="0.3">
      <c r="A41" s="210"/>
      <c r="B41" s="216"/>
      <c r="C41" s="215"/>
      <c r="D41" s="512">
        <f t="shared" si="0"/>
        <v>2034</v>
      </c>
      <c r="E41" s="513"/>
      <c r="F41" s="513"/>
      <c r="G41" s="513">
        <f t="shared" si="1"/>
        <v>12</v>
      </c>
      <c r="H41" s="513"/>
      <c r="I41" s="513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4">
        <f t="shared" si="2"/>
        <v>0</v>
      </c>
      <c r="U41" s="524"/>
      <c r="V41" s="524"/>
      <c r="W41" s="524"/>
      <c r="X41" s="525"/>
      <c r="Y41" s="234"/>
      <c r="Z41" s="215"/>
      <c r="AA41" s="215"/>
      <c r="AB41" s="215"/>
      <c r="AC41" s="215"/>
      <c r="AD41" s="215"/>
      <c r="AE41" s="214"/>
      <c r="AF41" s="210"/>
    </row>
    <row r="42" spans="1:32" ht="18.75" customHeight="1" x14ac:dyDescent="0.3">
      <c r="A42" s="210"/>
      <c r="B42" s="216"/>
      <c r="C42" s="215"/>
      <c r="D42" s="512">
        <f t="shared" si="0"/>
        <v>2035</v>
      </c>
      <c r="E42" s="513"/>
      <c r="F42" s="513"/>
      <c r="G42" s="513">
        <f t="shared" si="1"/>
        <v>13</v>
      </c>
      <c r="H42" s="513"/>
      <c r="I42" s="513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4">
        <f t="shared" si="2"/>
        <v>0</v>
      </c>
      <c r="U42" s="524"/>
      <c r="V42" s="524"/>
      <c r="W42" s="524"/>
      <c r="X42" s="525"/>
      <c r="Y42" s="234"/>
      <c r="Z42" s="215"/>
      <c r="AA42" s="215"/>
      <c r="AB42" s="215"/>
      <c r="AC42" s="215"/>
      <c r="AD42" s="215"/>
      <c r="AE42" s="214"/>
      <c r="AF42" s="210"/>
    </row>
    <row r="43" spans="1:32" ht="18.75" customHeight="1" thickBot="1" x14ac:dyDescent="0.35">
      <c r="A43" s="210"/>
      <c r="B43" s="216"/>
      <c r="C43" s="215"/>
      <c r="D43" s="517">
        <f t="shared" si="0"/>
        <v>2036</v>
      </c>
      <c r="E43" s="518"/>
      <c r="F43" s="518"/>
      <c r="G43" s="518">
        <f t="shared" si="1"/>
        <v>14</v>
      </c>
      <c r="H43" s="518"/>
      <c r="I43" s="518"/>
      <c r="J43" s="526"/>
      <c r="K43" s="526"/>
      <c r="L43" s="526"/>
      <c r="M43" s="526"/>
      <c r="N43" s="526"/>
      <c r="O43" s="526"/>
      <c r="P43" s="526"/>
      <c r="Q43" s="526"/>
      <c r="R43" s="526"/>
      <c r="S43" s="526"/>
      <c r="T43" s="527">
        <f t="shared" si="2"/>
        <v>0</v>
      </c>
      <c r="U43" s="527"/>
      <c r="V43" s="527"/>
      <c r="W43" s="527"/>
      <c r="X43" s="528"/>
      <c r="Y43" s="234"/>
      <c r="Z43" s="215"/>
      <c r="AA43" s="215"/>
      <c r="AB43" s="215"/>
      <c r="AC43" s="215"/>
      <c r="AD43" s="215"/>
      <c r="AE43" s="214"/>
      <c r="AF43" s="210"/>
    </row>
    <row r="44" spans="1:32" ht="18.75" customHeight="1" thickBot="1" x14ac:dyDescent="0.3">
      <c r="A44" s="210"/>
      <c r="B44" s="213"/>
      <c r="C44" s="212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12"/>
      <c r="Z44" s="212"/>
      <c r="AA44" s="212"/>
      <c r="AB44" s="212"/>
      <c r="AC44" s="212"/>
      <c r="AD44" s="212"/>
      <c r="AE44" s="211"/>
      <c r="AF44" s="210"/>
    </row>
    <row r="45" spans="1:32" ht="5.25" customHeight="1" x14ac:dyDescent="0.25">
      <c r="A45" s="210"/>
      <c r="B45" s="210"/>
      <c r="C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</row>
  </sheetData>
  <mergeCells count="104">
    <mergeCell ref="O37:S37"/>
    <mergeCell ref="T38:X38"/>
    <mergeCell ref="T39:X39"/>
    <mergeCell ref="T40:X40"/>
    <mergeCell ref="T33:X33"/>
    <mergeCell ref="T34:X34"/>
    <mergeCell ref="T35:X35"/>
    <mergeCell ref="T36:X36"/>
    <mergeCell ref="T37:X37"/>
    <mergeCell ref="J42:N42"/>
    <mergeCell ref="J43:N43"/>
    <mergeCell ref="T43:X43"/>
    <mergeCell ref="O42:S42"/>
    <mergeCell ref="O43:S43"/>
    <mergeCell ref="O33:S33"/>
    <mergeCell ref="O34:S34"/>
    <mergeCell ref="O41:S41"/>
    <mergeCell ref="J40:N40"/>
    <mergeCell ref="J41:N41"/>
    <mergeCell ref="O38:S38"/>
    <mergeCell ref="O39:S39"/>
    <mergeCell ref="O40:S40"/>
    <mergeCell ref="J38:N38"/>
    <mergeCell ref="J39:N39"/>
    <mergeCell ref="J33:N33"/>
    <mergeCell ref="O35:S35"/>
    <mergeCell ref="J34:N34"/>
    <mergeCell ref="J35:N35"/>
    <mergeCell ref="J36:N36"/>
    <mergeCell ref="J37:N37"/>
    <mergeCell ref="T41:X41"/>
    <mergeCell ref="T42:X42"/>
    <mergeCell ref="O36:S36"/>
    <mergeCell ref="T28:X29"/>
    <mergeCell ref="J30:N30"/>
    <mergeCell ref="J31:N31"/>
    <mergeCell ref="J32:N32"/>
    <mergeCell ref="O30:S30"/>
    <mergeCell ref="O31:S31"/>
    <mergeCell ref="O32:S32"/>
    <mergeCell ref="T30:X30"/>
    <mergeCell ref="T31:X31"/>
    <mergeCell ref="T32:X32"/>
    <mergeCell ref="G43:I43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D43:F43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L24:P24"/>
    <mergeCell ref="L26:P26"/>
    <mergeCell ref="D28:F29"/>
    <mergeCell ref="D30:F30"/>
    <mergeCell ref="D31:F31"/>
    <mergeCell ref="G28:I29"/>
    <mergeCell ref="G30:I30"/>
    <mergeCell ref="G31:I31"/>
    <mergeCell ref="J28:N29"/>
    <mergeCell ref="O28:S29"/>
    <mergeCell ref="L19:P19"/>
    <mergeCell ref="L20:P20"/>
    <mergeCell ref="L17:P17"/>
    <mergeCell ref="L18:P18"/>
    <mergeCell ref="L22:P22"/>
    <mergeCell ref="D9:AC10"/>
    <mergeCell ref="L14:P14"/>
    <mergeCell ref="L13:P13"/>
    <mergeCell ref="L12:P12"/>
    <mergeCell ref="L15:P15"/>
    <mergeCell ref="Z12:AD12"/>
    <mergeCell ref="Z13:AD13"/>
    <mergeCell ref="Z14:AD14"/>
    <mergeCell ref="Z15:AD15"/>
    <mergeCell ref="A3:O3"/>
    <mergeCell ref="A4:O4"/>
    <mergeCell ref="A2:O2"/>
    <mergeCell ref="V6:Y6"/>
    <mergeCell ref="AB6:AE6"/>
    <mergeCell ref="AB5:AE5"/>
    <mergeCell ref="AB4:AE4"/>
    <mergeCell ref="T2:AE2"/>
    <mergeCell ref="Z3:AA3"/>
    <mergeCell ref="AB3:AE3"/>
    <mergeCell ref="V3:Y3"/>
    <mergeCell ref="V4:Y4"/>
    <mergeCell ref="V5:Y5"/>
  </mergeCells>
  <hyperlinks>
    <hyperlink ref="A4" r:id="rId1" xr:uid="{1E5515CA-C4C9-416F-8ECA-08C41A298BF8}"/>
  </hyperlinks>
  <pageMargins left="0.25" right="0.2" top="0.25" bottom="0.25" header="0" footer="0"/>
  <pageSetup scale="96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DA57-7BF3-41BF-9FEA-91C7C9C92294}">
  <sheetPr>
    <tabColor rgb="FF0070C0"/>
    <pageSetUpPr fitToPage="1"/>
  </sheetPr>
  <dimension ref="A1:AF45"/>
  <sheetViews>
    <sheetView showGridLines="0" view="pageBreakPreview" zoomScale="85" zoomScaleNormal="100" zoomScaleSheetLayoutView="85" workbookViewId="0">
      <selection activeCell="U32" sqref="U32"/>
    </sheetView>
  </sheetViews>
  <sheetFormatPr defaultColWidth="3.6640625" defaultRowHeight="18.75" customHeight="1" x14ac:dyDescent="0.25"/>
  <cols>
    <col min="1" max="1" width="4.88671875" style="209" customWidth="1"/>
    <col min="2" max="31" width="3.33203125" style="209" customWidth="1"/>
    <col min="32" max="32" width="1.33203125" style="209" customWidth="1"/>
    <col min="33" max="16384" width="3.6640625" style="209"/>
  </cols>
  <sheetData>
    <row r="1" spans="1:32" ht="5.4" customHeight="1" x14ac:dyDescent="0.25">
      <c r="A1" s="232"/>
      <c r="B1" s="230"/>
      <c r="C1" s="230"/>
      <c r="D1" s="230"/>
      <c r="E1" s="230"/>
      <c r="F1" s="232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10"/>
    </row>
    <row r="2" spans="1:32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226"/>
      <c r="Q2" s="226"/>
      <c r="R2" s="226" t="s">
        <v>118</v>
      </c>
      <c r="S2" s="225"/>
      <c r="T2" s="486" t="s">
        <v>249</v>
      </c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210"/>
    </row>
    <row r="3" spans="1:32" ht="14.25" customHeight="1" x14ac:dyDescent="0.25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226"/>
      <c r="Q3" s="226"/>
      <c r="R3" s="226" t="s">
        <v>116</v>
      </c>
      <c r="S3" s="210"/>
      <c r="T3" s="228"/>
      <c r="U3" s="231"/>
      <c r="V3" s="482">
        <f ca="1">_xlfn.SHEET()-1</f>
        <v>2</v>
      </c>
      <c r="W3" s="482"/>
      <c r="X3" s="482"/>
      <c r="Y3" s="482"/>
      <c r="Z3" s="487" t="s">
        <v>115</v>
      </c>
      <c r="AA3" s="487"/>
      <c r="AB3" s="482">
        <f ca="1">_xlfn.SHEETS()-2</f>
        <v>10</v>
      </c>
      <c r="AC3" s="482"/>
      <c r="AD3" s="482"/>
      <c r="AE3" s="482"/>
      <c r="AF3" s="210"/>
    </row>
    <row r="4" spans="1:32" ht="14.25" customHeight="1" x14ac:dyDescent="0.25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226"/>
      <c r="Q4" s="226"/>
      <c r="R4" s="226" t="s">
        <v>113</v>
      </c>
      <c r="S4" s="210"/>
      <c r="T4" s="226"/>
      <c r="U4" s="224"/>
      <c r="V4" s="482" t="s">
        <v>252</v>
      </c>
      <c r="W4" s="482"/>
      <c r="X4" s="482"/>
      <c r="Y4" s="482"/>
      <c r="Z4" s="224" t="s">
        <v>111</v>
      </c>
      <c r="AA4" s="224"/>
      <c r="AB4" s="485">
        <v>45114</v>
      </c>
      <c r="AC4" s="485"/>
      <c r="AD4" s="485"/>
      <c r="AE4" s="485"/>
      <c r="AF4" s="210"/>
    </row>
    <row r="5" spans="1:32" ht="14.25" customHeight="1" x14ac:dyDescent="0.25">
      <c r="A5" s="210"/>
      <c r="B5" s="230"/>
      <c r="C5" s="229"/>
      <c r="D5" s="229"/>
      <c r="E5" s="229"/>
      <c r="F5" s="210"/>
      <c r="G5" s="227"/>
      <c r="H5" s="229"/>
      <c r="I5" s="229"/>
      <c r="J5" s="229"/>
      <c r="K5" s="229"/>
      <c r="L5" s="229"/>
      <c r="M5" s="229"/>
      <c r="N5" s="226"/>
      <c r="O5" s="226"/>
      <c r="P5" s="226"/>
      <c r="Q5" s="226"/>
      <c r="R5" s="226" t="s">
        <v>112</v>
      </c>
      <c r="S5" s="210"/>
      <c r="T5" s="226"/>
      <c r="U5" s="228"/>
      <c r="V5" s="482" t="s">
        <v>265</v>
      </c>
      <c r="W5" s="482"/>
      <c r="X5" s="482"/>
      <c r="Y5" s="482"/>
      <c r="Z5" s="224" t="s">
        <v>111</v>
      </c>
      <c r="AA5" s="224"/>
      <c r="AB5" s="483">
        <v>45118</v>
      </c>
      <c r="AC5" s="484"/>
      <c r="AD5" s="484"/>
      <c r="AE5" s="484"/>
      <c r="AF5" s="210"/>
    </row>
    <row r="6" spans="1:32" ht="14.25" customHeight="1" x14ac:dyDescent="0.25">
      <c r="A6" s="210"/>
      <c r="C6" s="227"/>
      <c r="D6" s="227"/>
      <c r="E6" s="227"/>
      <c r="F6" s="210"/>
      <c r="G6" s="227"/>
      <c r="H6" s="227"/>
      <c r="I6" s="227"/>
      <c r="J6" s="227"/>
      <c r="K6" s="227"/>
      <c r="L6" s="227"/>
      <c r="M6" s="227"/>
      <c r="N6" s="226"/>
      <c r="O6" s="226"/>
      <c r="P6" s="226"/>
      <c r="Q6" s="226"/>
      <c r="R6" s="226" t="s">
        <v>110</v>
      </c>
      <c r="S6" s="225"/>
      <c r="T6" s="225"/>
      <c r="U6" s="225"/>
      <c r="V6" s="482">
        <v>18683.060000000001</v>
      </c>
      <c r="W6" s="482"/>
      <c r="X6" s="482"/>
      <c r="Y6" s="482"/>
      <c r="Z6" s="224" t="s">
        <v>109</v>
      </c>
      <c r="AA6" s="224"/>
      <c r="AB6" s="482" t="s">
        <v>158</v>
      </c>
      <c r="AC6" s="482"/>
      <c r="AD6" s="482"/>
      <c r="AE6" s="482"/>
      <c r="AF6" s="210"/>
    </row>
    <row r="7" spans="1:32" ht="4.5" customHeight="1" thickBo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10"/>
    </row>
    <row r="8" spans="1:32" ht="18.75" customHeight="1" x14ac:dyDescent="0.25">
      <c r="A8" s="210"/>
      <c r="B8" s="222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0"/>
      <c r="AF8" s="210"/>
    </row>
    <row r="9" spans="1:32" ht="18.75" customHeight="1" x14ac:dyDescent="0.25">
      <c r="A9" s="210"/>
      <c r="B9" s="216"/>
      <c r="C9" s="215"/>
      <c r="D9" s="497" t="s">
        <v>135</v>
      </c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9"/>
      <c r="AD9" s="215"/>
      <c r="AE9" s="214"/>
      <c r="AF9" s="210"/>
    </row>
    <row r="10" spans="1:32" ht="18.75" customHeight="1" x14ac:dyDescent="0.25">
      <c r="A10" s="210"/>
      <c r="B10" s="216"/>
      <c r="C10" s="215"/>
      <c r="D10" s="500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2"/>
      <c r="AD10" s="215"/>
      <c r="AE10" s="214"/>
      <c r="AF10" s="210"/>
    </row>
    <row r="11" spans="1:32" ht="18.75" customHeight="1" x14ac:dyDescent="0.25">
      <c r="A11" s="210"/>
      <c r="B11" s="216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4"/>
      <c r="AF11" s="210"/>
    </row>
    <row r="12" spans="1:32" ht="18.75" customHeight="1" x14ac:dyDescent="0.3">
      <c r="A12" s="210"/>
      <c r="B12" s="216"/>
      <c r="C12" s="12"/>
      <c r="E12" s="14"/>
      <c r="F12"/>
      <c r="G12" s="14"/>
      <c r="H12"/>
      <c r="I12"/>
      <c r="J12" s="30" t="s">
        <v>145</v>
      </c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529">
        <f>'Funding Assumptions'!L19</f>
        <v>10590000</v>
      </c>
      <c r="V12" s="530"/>
      <c r="W12" s="530"/>
      <c r="X12" s="530"/>
      <c r="Y12" s="531"/>
      <c r="Z12" s="215"/>
      <c r="AA12" s="215"/>
      <c r="AB12" s="215"/>
      <c r="AC12" s="215"/>
      <c r="AD12" s="215"/>
      <c r="AE12" s="214"/>
      <c r="AF12" s="210"/>
    </row>
    <row r="13" spans="1:32" ht="18.75" customHeight="1" x14ac:dyDescent="0.25">
      <c r="A13" s="210"/>
      <c r="B13" s="216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35"/>
      <c r="Q13" s="235"/>
      <c r="R13" s="235"/>
      <c r="S13" s="235"/>
      <c r="T13" s="23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4"/>
      <c r="AF13" s="210"/>
    </row>
    <row r="14" spans="1:32" ht="18.75" customHeight="1" x14ac:dyDescent="0.3">
      <c r="A14" s="210"/>
      <c r="B14" s="216"/>
      <c r="C14" s="215"/>
      <c r="D14" s="215"/>
      <c r="E14" s="215"/>
      <c r="F14" s="215"/>
      <c r="G14" s="14"/>
      <c r="H14" s="14"/>
      <c r="I14" s="14"/>
      <c r="J14" s="273" t="s">
        <v>154</v>
      </c>
      <c r="K14" s="215"/>
      <c r="L14" s="215"/>
      <c r="M14" s="215"/>
      <c r="N14" s="215"/>
      <c r="O14" s="215"/>
      <c r="P14" s="235"/>
      <c r="Q14" s="235"/>
      <c r="R14" s="235"/>
      <c r="S14" s="235"/>
      <c r="T14" s="235"/>
      <c r="U14" s="532">
        <f>'Funding Assumptions'!L14</f>
        <v>0</v>
      </c>
      <c r="V14" s="533"/>
      <c r="W14" s="533"/>
      <c r="X14" s="533"/>
      <c r="Y14" s="534"/>
      <c r="Z14" s="215"/>
      <c r="AA14" s="215"/>
      <c r="AB14" s="215"/>
      <c r="AC14" s="215"/>
      <c r="AD14" s="215"/>
      <c r="AE14" s="214"/>
      <c r="AF14" s="210"/>
    </row>
    <row r="15" spans="1:32" ht="18.75" customHeight="1" x14ac:dyDescent="0.25">
      <c r="A15" s="210"/>
      <c r="B15" s="216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4"/>
      <c r="AF15" s="210"/>
    </row>
    <row r="16" spans="1:32" ht="18.75" customHeight="1" x14ac:dyDescent="0.25">
      <c r="A16" s="210"/>
      <c r="B16" s="216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4"/>
      <c r="AF16" s="210"/>
    </row>
    <row r="17" spans="1:32" ht="18.75" customHeight="1" x14ac:dyDescent="0.25">
      <c r="A17" s="210"/>
      <c r="B17" s="216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4"/>
      <c r="AF17" s="210"/>
    </row>
    <row r="18" spans="1:32" ht="18.75" customHeight="1" x14ac:dyDescent="0.25">
      <c r="A18" s="210"/>
      <c r="B18" s="216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4"/>
      <c r="AF18" s="210"/>
    </row>
    <row r="19" spans="1:32" ht="18.75" customHeight="1" x14ac:dyDescent="0.25">
      <c r="A19" s="210"/>
      <c r="B19" s="216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4"/>
      <c r="AF19" s="210"/>
    </row>
    <row r="20" spans="1:32" ht="18.75" customHeight="1" x14ac:dyDescent="0.25">
      <c r="A20" s="210"/>
      <c r="B20" s="216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4"/>
      <c r="AF20" s="210"/>
    </row>
    <row r="21" spans="1:32" ht="18.75" customHeight="1" x14ac:dyDescent="0.25">
      <c r="A21" s="210"/>
      <c r="B21" s="2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4"/>
      <c r="AF21" s="210"/>
    </row>
    <row r="22" spans="1:32" ht="18.75" customHeight="1" x14ac:dyDescent="0.3">
      <c r="A22" s="210"/>
      <c r="B22" s="216"/>
      <c r="C22" s="12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4"/>
      <c r="AF22" s="210"/>
    </row>
    <row r="23" spans="1:32" ht="18.75" customHeight="1" x14ac:dyDescent="0.25">
      <c r="A23" s="210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4"/>
      <c r="AF23" s="210"/>
    </row>
    <row r="24" spans="1:32" ht="18.75" customHeight="1" x14ac:dyDescent="0.25">
      <c r="A24" s="210"/>
      <c r="B24" s="216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4"/>
      <c r="AF24" s="210"/>
    </row>
    <row r="25" spans="1:32" ht="18.75" customHeight="1" x14ac:dyDescent="0.3">
      <c r="A25" s="210"/>
      <c r="B25" s="216"/>
      <c r="C25" s="12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30" t="s">
        <v>155</v>
      </c>
      <c r="U25" s="535">
        <f>SUM(U12:Y20)</f>
        <v>10590000</v>
      </c>
      <c r="V25" s="536"/>
      <c r="W25" s="536"/>
      <c r="X25" s="536"/>
      <c r="Y25" s="537"/>
      <c r="Z25" s="215"/>
      <c r="AA25" s="215"/>
      <c r="AB25" s="215"/>
      <c r="AC25" s="215"/>
      <c r="AD25" s="215"/>
      <c r="AE25" s="214"/>
      <c r="AF25" s="210"/>
    </row>
    <row r="26" spans="1:32" ht="18.75" customHeight="1" x14ac:dyDescent="0.25">
      <c r="A26" s="210"/>
      <c r="B26" s="216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4"/>
      <c r="AF26" s="210"/>
    </row>
    <row r="27" spans="1:32" ht="18.75" customHeight="1" x14ac:dyDescent="0.25">
      <c r="A27" s="210"/>
      <c r="B27" s="216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75"/>
      <c r="Z27" s="215"/>
      <c r="AA27" s="215"/>
      <c r="AB27" s="215"/>
      <c r="AC27" s="215"/>
      <c r="AD27" s="215"/>
      <c r="AE27" s="214"/>
      <c r="AF27" s="210"/>
    </row>
    <row r="28" spans="1:32" ht="18.75" customHeight="1" x14ac:dyDescent="0.25">
      <c r="A28" s="210"/>
      <c r="B28" s="216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35"/>
      <c r="W28" s="235"/>
      <c r="X28" s="235"/>
      <c r="Y28" s="235"/>
      <c r="Z28" s="215"/>
      <c r="AA28" s="215"/>
      <c r="AB28" s="215"/>
      <c r="AC28" s="215"/>
      <c r="AD28" s="215"/>
      <c r="AE28" s="214"/>
      <c r="AF28" s="210"/>
    </row>
    <row r="29" spans="1:32" ht="18.75" customHeight="1" x14ac:dyDescent="0.3">
      <c r="A29" s="210"/>
      <c r="B29" s="216"/>
      <c r="C29" s="215"/>
      <c r="D29" s="215"/>
      <c r="E29" s="215"/>
      <c r="F29" s="215"/>
      <c r="G29" s="215"/>
      <c r="H29" s="215"/>
      <c r="I29" s="21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30"/>
      <c r="U29" s="535"/>
      <c r="V29" s="536"/>
      <c r="W29" s="536"/>
      <c r="X29" s="536"/>
      <c r="Y29" s="537"/>
      <c r="Z29" s="215"/>
      <c r="AA29" s="215"/>
      <c r="AB29" s="215"/>
      <c r="AC29" s="215"/>
      <c r="AD29" s="215"/>
      <c r="AE29" s="214"/>
      <c r="AF29" s="210"/>
    </row>
    <row r="30" spans="1:32" ht="18.75" customHeight="1" x14ac:dyDescent="0.25">
      <c r="A30" s="210"/>
      <c r="B30" s="216"/>
      <c r="C30" s="215"/>
      <c r="D30" s="215"/>
      <c r="E30" s="215"/>
      <c r="F30" s="215"/>
      <c r="G30" s="215"/>
      <c r="H30" s="215"/>
      <c r="I30" s="21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15"/>
      <c r="Z30" s="215"/>
      <c r="AA30" s="215"/>
      <c r="AB30" s="215"/>
      <c r="AC30" s="215"/>
      <c r="AD30" s="215"/>
      <c r="AE30" s="214"/>
      <c r="AF30" s="210"/>
    </row>
    <row r="31" spans="1:32" ht="18.75" customHeight="1" x14ac:dyDescent="0.3">
      <c r="A31" s="210"/>
      <c r="B31" s="216"/>
      <c r="C31" s="215"/>
      <c r="D31" s="215"/>
      <c r="E31" s="215"/>
      <c r="F31" s="215"/>
      <c r="G31" s="215"/>
      <c r="H31" s="215"/>
      <c r="I31" s="21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30" t="s">
        <v>156</v>
      </c>
      <c r="U31" s="540">
        <v>75</v>
      </c>
      <c r="V31" s="540"/>
      <c r="W31" s="540"/>
      <c r="X31" s="540"/>
      <c r="Y31" s="541"/>
      <c r="Z31" s="215"/>
      <c r="AA31" s="215"/>
      <c r="AB31" s="215"/>
      <c r="AC31" s="215"/>
      <c r="AD31" s="215"/>
      <c r="AE31" s="214"/>
      <c r="AF31" s="210"/>
    </row>
    <row r="32" spans="1:32" ht="18.75" customHeight="1" x14ac:dyDescent="0.25">
      <c r="A32" s="210"/>
      <c r="B32" s="216"/>
      <c r="C32" s="215"/>
      <c r="D32" s="215"/>
      <c r="E32" s="215"/>
      <c r="F32" s="215"/>
      <c r="G32" s="215"/>
      <c r="H32" s="215"/>
      <c r="I32" s="21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15"/>
      <c r="Z32" s="215"/>
      <c r="AA32" s="215"/>
      <c r="AB32" s="215"/>
      <c r="AC32" s="215"/>
      <c r="AD32" s="215"/>
      <c r="AE32" s="214"/>
      <c r="AF32" s="210"/>
    </row>
    <row r="33" spans="1:32" ht="18.75" customHeight="1" x14ac:dyDescent="0.3">
      <c r="A33" s="210"/>
      <c r="B33" s="216"/>
      <c r="C33" s="215"/>
      <c r="D33" s="215"/>
      <c r="E33" s="215"/>
      <c r="F33" s="215"/>
      <c r="G33" s="215"/>
      <c r="H33" s="215"/>
      <c r="I33" s="21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30" t="s">
        <v>136</v>
      </c>
      <c r="U33" s="538">
        <v>2026</v>
      </c>
      <c r="V33" s="538"/>
      <c r="W33" s="538"/>
      <c r="X33" s="538"/>
      <c r="Y33" s="539"/>
      <c r="Z33" s="215"/>
      <c r="AA33" s="215"/>
      <c r="AB33" s="215"/>
      <c r="AC33" s="215"/>
      <c r="AD33" s="215"/>
      <c r="AE33" s="214"/>
      <c r="AF33" s="210"/>
    </row>
    <row r="34" spans="1:32" ht="18.75" customHeight="1" x14ac:dyDescent="0.25">
      <c r="A34" s="210"/>
      <c r="B34" s="216"/>
      <c r="C34" s="215"/>
      <c r="D34" s="215"/>
      <c r="E34" s="215"/>
      <c r="F34" s="215"/>
      <c r="G34" s="215"/>
      <c r="H34" s="215"/>
      <c r="I34" s="21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15"/>
      <c r="Z34" s="215"/>
      <c r="AA34" s="215"/>
      <c r="AB34" s="215"/>
      <c r="AC34" s="215"/>
      <c r="AD34" s="215"/>
      <c r="AE34" s="214"/>
      <c r="AF34" s="210"/>
    </row>
    <row r="35" spans="1:32" ht="18.75" customHeight="1" x14ac:dyDescent="0.3">
      <c r="A35" s="210"/>
      <c r="B35" s="216"/>
      <c r="C35" s="215"/>
      <c r="D35" s="215"/>
      <c r="E35" s="215"/>
      <c r="F35" s="215"/>
      <c r="G35" s="215"/>
      <c r="H35" s="215"/>
      <c r="I35" s="21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30" t="s">
        <v>137</v>
      </c>
      <c r="U35" s="538">
        <v>2055</v>
      </c>
      <c r="V35" s="538"/>
      <c r="W35" s="538"/>
      <c r="X35" s="538"/>
      <c r="Y35" s="539"/>
      <c r="Z35" s="215"/>
      <c r="AA35" s="215"/>
      <c r="AB35" s="215"/>
      <c r="AC35" s="215"/>
      <c r="AD35" s="215"/>
      <c r="AE35" s="214"/>
      <c r="AF35" s="210"/>
    </row>
    <row r="36" spans="1:32" ht="18.75" customHeight="1" x14ac:dyDescent="0.25">
      <c r="A36" s="210"/>
      <c r="B36" s="216"/>
      <c r="C36" s="215"/>
      <c r="D36" s="215"/>
      <c r="E36" s="215"/>
      <c r="F36" s="215"/>
      <c r="G36" s="215"/>
      <c r="H36" s="215"/>
      <c r="I36" s="21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15"/>
      <c r="Z36" s="215"/>
      <c r="AA36" s="215"/>
      <c r="AB36" s="215"/>
      <c r="AC36" s="215"/>
      <c r="AD36" s="215"/>
      <c r="AE36" s="214"/>
      <c r="AF36" s="210"/>
    </row>
    <row r="37" spans="1:32" ht="18.75" customHeight="1" x14ac:dyDescent="0.3">
      <c r="A37" s="210"/>
      <c r="B37" s="216"/>
      <c r="C37" s="215"/>
      <c r="D37" s="215"/>
      <c r="E37" s="215"/>
      <c r="F37" s="215"/>
      <c r="G37" s="215"/>
      <c r="H37" s="215"/>
      <c r="I37" s="21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74" t="s">
        <v>277</v>
      </c>
      <c r="U37" s="536">
        <f>ROUND(((U31-(U35-U33))/U31)*U25,-5)</f>
        <v>6500000</v>
      </c>
      <c r="V37" s="536"/>
      <c r="W37" s="536"/>
      <c r="X37" s="536"/>
      <c r="Y37" s="537"/>
      <c r="Z37" s="215"/>
      <c r="AA37" s="215"/>
      <c r="AB37" s="215"/>
      <c r="AC37" s="215"/>
      <c r="AD37" s="215"/>
      <c r="AE37" s="214"/>
      <c r="AF37" s="210"/>
    </row>
    <row r="38" spans="1:32" ht="18.75" customHeight="1" x14ac:dyDescent="0.25">
      <c r="A38" s="210"/>
      <c r="B38" s="216"/>
      <c r="C38" s="21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74" t="s">
        <v>157</v>
      </c>
      <c r="U38" s="235"/>
      <c r="V38" s="235"/>
      <c r="W38" s="235"/>
      <c r="X38" s="235"/>
      <c r="Y38" s="215"/>
      <c r="Z38" s="215"/>
      <c r="AA38" s="215"/>
      <c r="AB38" s="215"/>
      <c r="AC38" s="215"/>
      <c r="AD38" s="215"/>
      <c r="AE38" s="214"/>
      <c r="AF38" s="210"/>
    </row>
    <row r="39" spans="1:32" ht="18.75" customHeight="1" x14ac:dyDescent="0.25">
      <c r="A39" s="210"/>
      <c r="B39" s="216"/>
      <c r="C39" s="21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15"/>
      <c r="Z39" s="215"/>
      <c r="AA39" s="215"/>
      <c r="AB39" s="215"/>
      <c r="AC39" s="215"/>
      <c r="AD39" s="215"/>
      <c r="AE39" s="214"/>
      <c r="AF39" s="210"/>
    </row>
    <row r="40" spans="1:32" ht="18.75" customHeight="1" x14ac:dyDescent="0.25">
      <c r="A40" s="210"/>
      <c r="B40" s="216"/>
      <c r="C40" s="21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15"/>
      <c r="Z40" s="215"/>
      <c r="AA40" s="215"/>
      <c r="AB40" s="215"/>
      <c r="AC40" s="215"/>
      <c r="AD40" s="215"/>
      <c r="AE40" s="214"/>
      <c r="AF40" s="210"/>
    </row>
    <row r="41" spans="1:32" ht="18.75" customHeight="1" x14ac:dyDescent="0.25">
      <c r="A41" s="210"/>
      <c r="B41" s="216"/>
      <c r="C41" s="21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15"/>
      <c r="Z41" s="215"/>
      <c r="AA41" s="215"/>
      <c r="AB41" s="215"/>
      <c r="AC41" s="215"/>
      <c r="AD41" s="215"/>
      <c r="AE41" s="214"/>
      <c r="AF41" s="210"/>
    </row>
    <row r="42" spans="1:32" ht="18.75" customHeight="1" x14ac:dyDescent="0.25">
      <c r="A42" s="210"/>
      <c r="B42" s="216"/>
      <c r="C42" s="21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15"/>
      <c r="Z42" s="215"/>
      <c r="AA42" s="215"/>
      <c r="AB42" s="215"/>
      <c r="AC42" s="215"/>
      <c r="AD42" s="215"/>
      <c r="AE42" s="214"/>
      <c r="AF42" s="210"/>
    </row>
    <row r="43" spans="1:32" ht="18.75" customHeight="1" x14ac:dyDescent="0.25">
      <c r="A43" s="210"/>
      <c r="B43" s="216"/>
      <c r="C43" s="21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15"/>
      <c r="Z43" s="215"/>
      <c r="AA43" s="215"/>
      <c r="AB43" s="215"/>
      <c r="AC43" s="215"/>
      <c r="AD43" s="215"/>
      <c r="AE43" s="214"/>
      <c r="AF43" s="210"/>
    </row>
    <row r="44" spans="1:32" ht="18.75" customHeight="1" thickBot="1" x14ac:dyDescent="0.3">
      <c r="A44" s="210"/>
      <c r="B44" s="213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1"/>
      <c r="AF44" s="210"/>
    </row>
    <row r="45" spans="1:32" ht="5.25" customHeight="1" x14ac:dyDescent="0.25">
      <c r="A45" s="210"/>
      <c r="B45" s="210"/>
      <c r="C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</row>
  </sheetData>
  <mergeCells count="22">
    <mergeCell ref="U14:Y14"/>
    <mergeCell ref="U25:Y25"/>
    <mergeCell ref="U35:Y35"/>
    <mergeCell ref="U37:Y37"/>
    <mergeCell ref="U29:Y29"/>
    <mergeCell ref="U31:Y31"/>
    <mergeCell ref="U33:Y33"/>
    <mergeCell ref="D9:AC10"/>
    <mergeCell ref="U12:Y12"/>
    <mergeCell ref="V6:Y6"/>
    <mergeCell ref="AB6:AE6"/>
    <mergeCell ref="A2:O2"/>
    <mergeCell ref="T2:AE2"/>
    <mergeCell ref="A3:O3"/>
    <mergeCell ref="V3:Y3"/>
    <mergeCell ref="Z3:AA3"/>
    <mergeCell ref="AB3:AE3"/>
    <mergeCell ref="A4:O4"/>
    <mergeCell ref="V4:Y4"/>
    <mergeCell ref="AB4:AE4"/>
    <mergeCell ref="V5:Y5"/>
    <mergeCell ref="AB5:AE5"/>
  </mergeCells>
  <phoneticPr fontId="10" type="noConversion"/>
  <hyperlinks>
    <hyperlink ref="A4" r:id="rId1" xr:uid="{2F8E39A6-38D3-4F37-8EA2-D73621308BBF}"/>
  </hyperlinks>
  <pageMargins left="0.25" right="0.2" top="0.25" bottom="0.25" header="0" footer="0"/>
  <pageSetup scale="9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AFFD-0992-4F46-9DAB-8359E3440007}">
  <sheetPr>
    <tabColor rgb="FF0070C0"/>
    <pageSetUpPr fitToPage="1"/>
  </sheetPr>
  <dimension ref="A1:AE72"/>
  <sheetViews>
    <sheetView view="pageBreakPreview" topLeftCell="A8" zoomScale="75" zoomScaleNormal="90" zoomScaleSheetLayoutView="75" workbookViewId="0">
      <selection activeCell="J18" sqref="J18"/>
    </sheetView>
  </sheetViews>
  <sheetFormatPr defaultRowHeight="14.4" x14ac:dyDescent="0.3"/>
  <cols>
    <col min="1" max="6" width="15.6640625" customWidth="1"/>
    <col min="7" max="7" width="16.6640625" customWidth="1"/>
    <col min="8" max="10" width="15.6640625" customWidth="1"/>
    <col min="11" max="13" width="18" bestFit="1" customWidth="1"/>
    <col min="14" max="19" width="15.6640625" customWidth="1"/>
    <col min="20" max="20" width="16.109375" customWidth="1"/>
    <col min="21" max="21" width="16.88671875" customWidth="1"/>
    <col min="22" max="22" width="15" customWidth="1"/>
    <col min="23" max="23" width="34.5546875" customWidth="1"/>
  </cols>
  <sheetData>
    <row r="1" spans="1:31" s="209" customFormat="1" ht="5.4" customHeight="1" x14ac:dyDescent="0.25">
      <c r="A1" s="232"/>
      <c r="B1" s="230"/>
      <c r="C1" s="230"/>
      <c r="D1" s="230"/>
      <c r="E1" s="232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10"/>
    </row>
    <row r="2" spans="1:31" s="209" customFormat="1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226" t="s">
        <v>118</v>
      </c>
      <c r="N2" s="546" t="s">
        <v>249</v>
      </c>
      <c r="O2" s="546"/>
      <c r="P2" s="546"/>
      <c r="Q2" s="344"/>
      <c r="R2" s="210"/>
      <c r="T2" s="209" t="s">
        <v>222</v>
      </c>
    </row>
    <row r="3" spans="1:31" s="209" customFormat="1" ht="14.25" customHeight="1" x14ac:dyDescent="0.3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226" t="s">
        <v>116</v>
      </c>
      <c r="N3" s="341">
        <f ca="1">_xlfn.SHEET()-1</f>
        <v>3</v>
      </c>
      <c r="O3" s="345" t="s">
        <v>115</v>
      </c>
      <c r="P3" s="341">
        <f ca="1">_xlfn.SHEETS()-2</f>
        <v>10</v>
      </c>
      <c r="Q3" s="344"/>
      <c r="R3" s="210"/>
    </row>
    <row r="4" spans="1:31" s="209" customFormat="1" ht="14.25" customHeight="1" x14ac:dyDescent="0.3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226" t="s">
        <v>113</v>
      </c>
      <c r="N4" s="341" t="s">
        <v>252</v>
      </c>
      <c r="O4" s="346" t="s">
        <v>111</v>
      </c>
      <c r="P4" s="343">
        <v>45118</v>
      </c>
      <c r="Q4" s="344"/>
      <c r="R4" s="210"/>
    </row>
    <row r="5" spans="1:31" s="209" customFormat="1" ht="14.25" customHeight="1" x14ac:dyDescent="0.3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226" t="s">
        <v>112</v>
      </c>
      <c r="N5" s="341" t="s">
        <v>265</v>
      </c>
      <c r="O5" s="346" t="s">
        <v>111</v>
      </c>
      <c r="P5" s="342">
        <v>45118</v>
      </c>
      <c r="Q5" s="344"/>
      <c r="R5" s="210"/>
    </row>
    <row r="6" spans="1:31" s="209" customFormat="1" ht="14.25" customHeight="1" x14ac:dyDescent="0.3">
      <c r="A6" s="210"/>
      <c r="C6" s="227"/>
      <c r="E6" s="225"/>
      <c r="F6" s="225"/>
      <c r="G6" s="344"/>
      <c r="H6" s="344"/>
      <c r="I6" s="344"/>
      <c r="J6" s="344"/>
      <c r="K6" s="344"/>
      <c r="L6" s="344"/>
      <c r="M6" s="226" t="s">
        <v>110</v>
      </c>
      <c r="N6" s="341">
        <v>18683.060000000001</v>
      </c>
      <c r="O6" s="346" t="s">
        <v>109</v>
      </c>
      <c r="P6" s="341" t="s">
        <v>158</v>
      </c>
      <c r="Q6" s="344"/>
      <c r="R6" s="210"/>
    </row>
    <row r="7" spans="1:31" s="209" customFormat="1" ht="4.5" customHeigh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P7" s="223"/>
      <c r="Q7" s="344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10"/>
    </row>
    <row r="8" spans="1:31" ht="15.6" x14ac:dyDescent="0.3">
      <c r="A8" s="7" t="s">
        <v>184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31" ht="16.2" thickBo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31" ht="60.75" customHeight="1" x14ac:dyDescent="0.3">
      <c r="A10" s="543" t="s">
        <v>0</v>
      </c>
      <c r="B10" s="543" t="s">
        <v>1</v>
      </c>
      <c r="C10" s="543" t="s">
        <v>172</v>
      </c>
      <c r="D10" s="543" t="s">
        <v>268</v>
      </c>
      <c r="E10" s="7"/>
      <c r="G10" s="7"/>
      <c r="H10" s="548" t="s">
        <v>169</v>
      </c>
      <c r="I10" s="549"/>
      <c r="J10" s="550"/>
      <c r="K10" s="548" t="s">
        <v>170</v>
      </c>
      <c r="L10" s="549"/>
      <c r="M10" s="550"/>
      <c r="P10" s="7"/>
      <c r="Q10" s="7"/>
      <c r="R10" s="7"/>
      <c r="S10" s="7"/>
    </row>
    <row r="11" spans="1:31" ht="16.5" customHeight="1" x14ac:dyDescent="0.3">
      <c r="A11" s="544"/>
      <c r="B11" s="544"/>
      <c r="C11" s="544"/>
      <c r="D11" s="544"/>
      <c r="E11" s="115"/>
      <c r="H11" s="4" t="s">
        <v>164</v>
      </c>
      <c r="I11" s="288" t="s">
        <v>165</v>
      </c>
      <c r="J11" s="395" t="s">
        <v>165</v>
      </c>
      <c r="K11" s="4" t="s">
        <v>164</v>
      </c>
      <c r="L11" s="288" t="s">
        <v>165</v>
      </c>
      <c r="M11" s="395" t="s">
        <v>165</v>
      </c>
      <c r="P11" s="115"/>
      <c r="Q11" s="115"/>
      <c r="R11" s="115"/>
      <c r="S11" s="115"/>
    </row>
    <row r="12" spans="1:31" ht="15" thickBot="1" x14ac:dyDescent="0.35">
      <c r="A12" s="545"/>
      <c r="B12" s="545"/>
      <c r="C12" s="545"/>
      <c r="D12" s="545"/>
      <c r="E12" s="115"/>
      <c r="H12" s="298">
        <v>2030</v>
      </c>
      <c r="I12" s="393">
        <v>2030</v>
      </c>
      <c r="J12" s="299">
        <v>2043</v>
      </c>
      <c r="K12" s="351">
        <f>H12</f>
        <v>2030</v>
      </c>
      <c r="L12" s="393">
        <f t="shared" ref="L12:M12" si="0">I12</f>
        <v>2030</v>
      </c>
      <c r="M12" s="299">
        <f t="shared" si="0"/>
        <v>2043</v>
      </c>
      <c r="P12" s="115"/>
      <c r="Q12" s="115"/>
      <c r="R12" s="115"/>
      <c r="S12" s="115"/>
    </row>
    <row r="13" spans="1:31" ht="15" customHeight="1" x14ac:dyDescent="0.3">
      <c r="A13" s="256">
        <v>2022</v>
      </c>
      <c r="B13" s="260">
        <v>0</v>
      </c>
      <c r="C13" s="291">
        <v>0</v>
      </c>
      <c r="D13" s="263">
        <v>0</v>
      </c>
      <c r="E13" s="119"/>
      <c r="G13" s="77" t="s">
        <v>72</v>
      </c>
      <c r="H13" s="330">
        <f>I39*P24</f>
        <v>41134</v>
      </c>
      <c r="I13" s="331">
        <f>I40*P24</f>
        <v>48513</v>
      </c>
      <c r="J13" s="332">
        <f>I40*P37</f>
        <v>52530</v>
      </c>
      <c r="K13" s="333">
        <f>365*H13</f>
        <v>15013910</v>
      </c>
      <c r="L13" s="334">
        <f>365*I13</f>
        <v>17707245</v>
      </c>
      <c r="M13" s="335">
        <f>365*J13</f>
        <v>19173450</v>
      </c>
    </row>
    <row r="14" spans="1:31" ht="15" customHeight="1" thickBot="1" x14ac:dyDescent="0.35">
      <c r="A14" s="256">
        <f t="shared" ref="A14:A46" si="1">1+A13:A13</f>
        <v>2023</v>
      </c>
      <c r="B14" s="260">
        <f t="shared" ref="B14:B46" si="2">B13+1</f>
        <v>1</v>
      </c>
      <c r="C14" s="291">
        <v>0</v>
      </c>
      <c r="D14" s="263">
        <v>0</v>
      </c>
      <c r="E14" s="119"/>
      <c r="G14" s="295" t="s">
        <v>167</v>
      </c>
      <c r="H14" s="336">
        <v>0</v>
      </c>
      <c r="I14" s="337">
        <f>I13-H13</f>
        <v>7379</v>
      </c>
      <c r="J14" s="338">
        <f>N40-N39</f>
        <v>7990</v>
      </c>
      <c r="K14" s="336">
        <f t="shared" ref="K14:K16" si="3">365*H14</f>
        <v>0</v>
      </c>
      <c r="L14" s="337">
        <f>365*I14</f>
        <v>2693335</v>
      </c>
      <c r="M14" s="338">
        <f>365*J14</f>
        <v>2916350</v>
      </c>
    </row>
    <row r="15" spans="1:31" ht="15" customHeight="1" x14ac:dyDescent="0.3">
      <c r="A15" s="256">
        <f t="shared" si="1"/>
        <v>2024</v>
      </c>
      <c r="B15" s="260">
        <f t="shared" si="2"/>
        <v>2</v>
      </c>
      <c r="C15" s="291">
        <v>0</v>
      </c>
      <c r="D15" s="263">
        <v>0</v>
      </c>
      <c r="E15" s="119"/>
      <c r="G15" s="296" t="s">
        <v>173</v>
      </c>
      <c r="H15" s="300">
        <f>H14*$H$27*$H$21</f>
        <v>0</v>
      </c>
      <c r="I15" s="293">
        <f>I14*$H$27*$H$21</f>
        <v>3187.2852600000001</v>
      </c>
      <c r="J15" s="301">
        <f>J14*H27*H21</f>
        <v>3451.2006000000006</v>
      </c>
      <c r="K15" s="390">
        <f t="shared" si="3"/>
        <v>0</v>
      </c>
      <c r="L15" s="304">
        <f t="shared" ref="L15:L16" si="4">365*I15</f>
        <v>1163359.1199</v>
      </c>
      <c r="M15" s="305">
        <f t="shared" ref="M15:M16" si="5">365*J15</f>
        <v>1259688.2190000003</v>
      </c>
    </row>
    <row r="16" spans="1:31" ht="15" customHeight="1" thickBot="1" x14ac:dyDescent="0.35">
      <c r="A16" s="256">
        <f t="shared" si="1"/>
        <v>2025</v>
      </c>
      <c r="B16" s="260">
        <f t="shared" si="2"/>
        <v>3</v>
      </c>
      <c r="C16" s="291">
        <v>0</v>
      </c>
      <c r="D16" s="263">
        <v>0</v>
      </c>
      <c r="E16" s="119"/>
      <c r="G16" s="297" t="s">
        <v>174</v>
      </c>
      <c r="H16" s="302">
        <f>H14*$H$22*$H$26</f>
        <v>0</v>
      </c>
      <c r="I16" s="294">
        <f>I14*$H$22*$H$26</f>
        <v>454.62018999999998</v>
      </c>
      <c r="J16" s="303">
        <f>J14*H26*H22</f>
        <v>492.26389999999998</v>
      </c>
      <c r="K16" s="391">
        <f t="shared" si="3"/>
        <v>0</v>
      </c>
      <c r="L16" s="306">
        <f t="shared" si="4"/>
        <v>165936.36934999999</v>
      </c>
      <c r="M16" s="307">
        <f t="shared" si="5"/>
        <v>179676.3235</v>
      </c>
      <c r="O16" s="5" t="s">
        <v>258</v>
      </c>
      <c r="P16" s="5" t="s">
        <v>257</v>
      </c>
    </row>
    <row r="17" spans="1:19" ht="15" customHeight="1" x14ac:dyDescent="0.3">
      <c r="A17" s="256">
        <f>1+A16:A16</f>
        <v>2026</v>
      </c>
      <c r="B17" s="260">
        <f t="shared" si="2"/>
        <v>4</v>
      </c>
      <c r="C17" s="291">
        <v>0</v>
      </c>
      <c r="D17" s="263">
        <v>0</v>
      </c>
      <c r="E17" s="119"/>
      <c r="G17" t="s">
        <v>10</v>
      </c>
      <c r="H17" s="292">
        <f>SUM(H15:H16)</f>
        <v>0</v>
      </c>
      <c r="I17" s="292">
        <f>SUM(I15:I16)</f>
        <v>3641.9054500000002</v>
      </c>
      <c r="J17" s="292">
        <f t="shared" ref="J17:K17" si="6">SUM(J15:J16)</f>
        <v>3943.4645000000005</v>
      </c>
      <c r="K17" s="292">
        <f t="shared" si="6"/>
        <v>0</v>
      </c>
      <c r="L17" s="292">
        <f t="shared" ref="L17" si="7">SUM(L15:L16)</f>
        <v>1329295.4892500001</v>
      </c>
      <c r="M17" s="292">
        <f>SUM(M15:M16)</f>
        <v>1439364.5425000002</v>
      </c>
      <c r="O17" s="5">
        <v>2023</v>
      </c>
      <c r="P17" s="5">
        <v>1500</v>
      </c>
    </row>
    <row r="18" spans="1:19" ht="15" customHeight="1" x14ac:dyDescent="0.3">
      <c r="A18" s="256">
        <f t="shared" si="1"/>
        <v>2027</v>
      </c>
      <c r="B18" s="260">
        <f t="shared" si="2"/>
        <v>5</v>
      </c>
      <c r="C18" s="316">
        <v>0</v>
      </c>
      <c r="D18" s="263">
        <v>0</v>
      </c>
      <c r="E18" s="120"/>
      <c r="K18" s="285"/>
      <c r="L18" s="284"/>
      <c r="M18" s="284"/>
      <c r="O18" s="5">
        <v>2024</v>
      </c>
      <c r="P18" s="5">
        <f>P17+10</f>
        <v>1510</v>
      </c>
      <c r="Q18" s="2"/>
      <c r="R18" s="2"/>
      <c r="S18" s="2"/>
    </row>
    <row r="19" spans="1:19" ht="15" customHeight="1" x14ac:dyDescent="0.3">
      <c r="A19" s="256">
        <f t="shared" si="1"/>
        <v>2028</v>
      </c>
      <c r="B19" s="260">
        <f t="shared" si="2"/>
        <v>6</v>
      </c>
      <c r="C19" s="316">
        <v>0</v>
      </c>
      <c r="D19" s="263">
        <v>0</v>
      </c>
      <c r="E19" s="120"/>
      <c r="I19" s="167"/>
      <c r="J19" s="134"/>
      <c r="K19" s="419"/>
      <c r="L19" s="284"/>
      <c r="M19" s="284"/>
      <c r="O19" s="5">
        <v>2025</v>
      </c>
      <c r="P19" s="5">
        <f t="shared" ref="P19:P49" si="8">P18+10</f>
        <v>1520</v>
      </c>
      <c r="Q19" s="2"/>
      <c r="R19" s="2"/>
      <c r="S19" s="2"/>
    </row>
    <row r="20" spans="1:19" ht="15" customHeight="1" x14ac:dyDescent="0.3">
      <c r="A20" s="256">
        <f t="shared" si="1"/>
        <v>2029</v>
      </c>
      <c r="B20" s="260">
        <f t="shared" si="2"/>
        <v>7</v>
      </c>
      <c r="C20" s="316">
        <v>0</v>
      </c>
      <c r="D20" s="263">
        <v>0</v>
      </c>
      <c r="E20" s="120"/>
      <c r="O20" s="5">
        <v>2026</v>
      </c>
      <c r="P20" s="5">
        <f t="shared" si="8"/>
        <v>1530</v>
      </c>
      <c r="Q20" s="2"/>
      <c r="R20" s="2"/>
      <c r="S20" s="2"/>
    </row>
    <row r="21" spans="1:19" ht="15" customHeight="1" x14ac:dyDescent="0.3">
      <c r="A21" s="256">
        <f t="shared" si="1"/>
        <v>2030</v>
      </c>
      <c r="B21" s="260">
        <f t="shared" si="2"/>
        <v>8</v>
      </c>
      <c r="C21" s="316">
        <f t="shared" ref="C21:C46" si="9">(I$40-I$39)*P24*H$30</f>
        <v>2693334.9999999995</v>
      </c>
      <c r="D21" s="263">
        <f>(C21*$H$27*$H$21)+(C21*$H$22*$H$26)</f>
        <v>1329295.4892500001</v>
      </c>
      <c r="E21" s="542" t="s">
        <v>171</v>
      </c>
      <c r="G21" t="s">
        <v>175</v>
      </c>
      <c r="H21" s="292">
        <v>0.46</v>
      </c>
      <c r="I21" s="192" t="s">
        <v>185</v>
      </c>
      <c r="O21" s="5">
        <v>2027</v>
      </c>
      <c r="P21" s="5">
        <f t="shared" si="8"/>
        <v>1540</v>
      </c>
      <c r="Q21" s="2"/>
      <c r="R21" s="2"/>
      <c r="S21" s="2"/>
    </row>
    <row r="22" spans="1:19" ht="15" customHeight="1" x14ac:dyDescent="0.3">
      <c r="A22" s="256">
        <f t="shared" si="1"/>
        <v>2031</v>
      </c>
      <c r="B22" s="260">
        <f t="shared" si="2"/>
        <v>9</v>
      </c>
      <c r="C22" s="316">
        <f t="shared" si="9"/>
        <v>2710489.9999999995</v>
      </c>
      <c r="D22" s="263">
        <f t="shared" ref="D22:D46" si="10">(C22*$H$27*$H$21)+(C22*$H$22*$H$26)</f>
        <v>1337762.3395</v>
      </c>
      <c r="E22" s="542"/>
      <c r="G22" t="s">
        <v>176</v>
      </c>
      <c r="H22" s="292">
        <v>1.01</v>
      </c>
      <c r="I22" s="192" t="s">
        <v>186</v>
      </c>
      <c r="O22" s="5">
        <v>2028</v>
      </c>
      <c r="P22" s="5">
        <f t="shared" si="8"/>
        <v>1550</v>
      </c>
      <c r="Q22" s="2"/>
      <c r="R22" s="2"/>
      <c r="S22" s="2"/>
    </row>
    <row r="23" spans="1:19" ht="15" customHeight="1" x14ac:dyDescent="0.3">
      <c r="A23" s="256">
        <f t="shared" si="1"/>
        <v>2032</v>
      </c>
      <c r="B23" s="260">
        <f t="shared" si="2"/>
        <v>10</v>
      </c>
      <c r="C23" s="316">
        <f t="shared" si="9"/>
        <v>2727644.9999999995</v>
      </c>
      <c r="D23" s="263">
        <f t="shared" si="10"/>
        <v>1346229.1897499999</v>
      </c>
      <c r="E23" s="542"/>
      <c r="O23" s="5">
        <v>2029</v>
      </c>
      <c r="P23" s="5">
        <f t="shared" si="8"/>
        <v>1560</v>
      </c>
      <c r="Q23" s="2"/>
      <c r="R23" s="2"/>
      <c r="S23" s="2"/>
    </row>
    <row r="24" spans="1:19" ht="15" customHeight="1" x14ac:dyDescent="0.3">
      <c r="A24" s="256">
        <f t="shared" si="1"/>
        <v>2033</v>
      </c>
      <c r="B24" s="260">
        <f t="shared" si="2"/>
        <v>11</v>
      </c>
      <c r="C24" s="316">
        <f t="shared" si="9"/>
        <v>2744799.9999999995</v>
      </c>
      <c r="D24" s="263">
        <f t="shared" si="10"/>
        <v>1354696.04</v>
      </c>
      <c r="E24" s="542"/>
      <c r="G24" s="25"/>
      <c r="O24" s="5">
        <v>2030</v>
      </c>
      <c r="P24" s="5">
        <f t="shared" si="8"/>
        <v>1570</v>
      </c>
      <c r="Q24" s="2"/>
      <c r="R24" s="2"/>
      <c r="S24" s="2"/>
    </row>
    <row r="25" spans="1:19" ht="15" customHeight="1" x14ac:dyDescent="0.3">
      <c r="A25" s="256">
        <f t="shared" si="1"/>
        <v>2034</v>
      </c>
      <c r="B25" s="260">
        <f t="shared" si="2"/>
        <v>12</v>
      </c>
      <c r="C25" s="316">
        <f t="shared" si="9"/>
        <v>2761954.9999999995</v>
      </c>
      <c r="D25" s="263">
        <f t="shared" si="10"/>
        <v>1363162.8902499999</v>
      </c>
      <c r="E25" s="542"/>
      <c r="O25" s="5">
        <v>2031</v>
      </c>
      <c r="P25" s="5">
        <f t="shared" si="8"/>
        <v>1580</v>
      </c>
      <c r="Q25" s="2"/>
      <c r="R25" s="2"/>
      <c r="S25" s="2"/>
    </row>
    <row r="26" spans="1:19" ht="15" customHeight="1" x14ac:dyDescent="0.3">
      <c r="A26" s="256">
        <f t="shared" si="1"/>
        <v>2035</v>
      </c>
      <c r="B26" s="260">
        <f t="shared" si="2"/>
        <v>13</v>
      </c>
      <c r="C26" s="316">
        <f t="shared" si="9"/>
        <v>2779109.9999999995</v>
      </c>
      <c r="D26" s="263">
        <f t="shared" si="10"/>
        <v>1371629.7404999998</v>
      </c>
      <c r="E26" s="542"/>
      <c r="G26" t="s">
        <v>43</v>
      </c>
      <c r="H26" s="104">
        <f>'Travel Times Savings'!C38</f>
        <v>6.0999999999999999E-2</v>
      </c>
      <c r="I26" s="414" t="str">
        <f>'Travel Times Savings'!D38</f>
        <v>Trucks (Per  Scoping Study)</v>
      </c>
      <c r="O26" s="5">
        <v>2032</v>
      </c>
      <c r="P26" s="5">
        <f t="shared" si="8"/>
        <v>1590</v>
      </c>
      <c r="Q26" s="116"/>
      <c r="R26" s="116"/>
      <c r="S26" s="116"/>
    </row>
    <row r="27" spans="1:19" ht="15" customHeight="1" x14ac:dyDescent="0.3">
      <c r="A27" s="256">
        <f t="shared" si="1"/>
        <v>2036</v>
      </c>
      <c r="B27" s="260">
        <f t="shared" si="2"/>
        <v>14</v>
      </c>
      <c r="C27" s="316">
        <f t="shared" si="9"/>
        <v>2796264.9999999995</v>
      </c>
      <c r="D27" s="263">
        <f t="shared" si="10"/>
        <v>1380096.5907499997</v>
      </c>
      <c r="E27" s="542"/>
      <c r="H27" s="104">
        <f>'Travel Times Savings'!C39</f>
        <v>0.93900000000000006</v>
      </c>
      <c r="I27" s="414" t="str">
        <f>'Travel Times Savings'!D39</f>
        <v>Passenger Vehicles</v>
      </c>
      <c r="O27" s="5">
        <v>2033</v>
      </c>
      <c r="P27" s="5">
        <f t="shared" si="8"/>
        <v>1600</v>
      </c>
      <c r="Q27" s="116"/>
      <c r="R27" s="116"/>
      <c r="S27" s="116"/>
    </row>
    <row r="28" spans="1:19" ht="15" customHeight="1" x14ac:dyDescent="0.3">
      <c r="A28" s="256">
        <f t="shared" si="1"/>
        <v>2037</v>
      </c>
      <c r="B28" s="260">
        <f t="shared" si="2"/>
        <v>15</v>
      </c>
      <c r="C28" s="316">
        <f t="shared" si="9"/>
        <v>2813419.9999999995</v>
      </c>
      <c r="D28" s="263">
        <f t="shared" si="10"/>
        <v>1388563.4410000001</v>
      </c>
      <c r="E28" s="542"/>
      <c r="O28" s="5">
        <v>2034</v>
      </c>
      <c r="P28" s="5">
        <f t="shared" si="8"/>
        <v>1610</v>
      </c>
      <c r="Q28" s="116"/>
      <c r="R28" s="116"/>
      <c r="S28" s="116"/>
    </row>
    <row r="29" spans="1:19" ht="15" customHeight="1" x14ac:dyDescent="0.3">
      <c r="A29" s="256">
        <f t="shared" si="1"/>
        <v>2038</v>
      </c>
      <c r="B29" s="260">
        <f t="shared" si="2"/>
        <v>16</v>
      </c>
      <c r="C29" s="316">
        <f t="shared" si="9"/>
        <v>2830574.9999999995</v>
      </c>
      <c r="D29" s="263">
        <f t="shared" si="10"/>
        <v>1397030.29125</v>
      </c>
      <c r="E29" s="542"/>
      <c r="O29" s="5">
        <v>2035</v>
      </c>
      <c r="P29" s="5">
        <f t="shared" si="8"/>
        <v>1620</v>
      </c>
      <c r="Q29" s="116"/>
      <c r="R29" s="116"/>
      <c r="S29" s="116"/>
    </row>
    <row r="30" spans="1:19" ht="15" customHeight="1" x14ac:dyDescent="0.3">
      <c r="A30" s="256">
        <f t="shared" si="1"/>
        <v>2039</v>
      </c>
      <c r="B30" s="260">
        <f t="shared" si="2"/>
        <v>17</v>
      </c>
      <c r="C30" s="316">
        <f t="shared" si="9"/>
        <v>2847729.9999999995</v>
      </c>
      <c r="D30" s="263">
        <f t="shared" si="10"/>
        <v>1405497.1414999999</v>
      </c>
      <c r="E30" s="542"/>
      <c r="F30" s="116"/>
      <c r="G30" s="116" t="s">
        <v>259</v>
      </c>
      <c r="H30" s="420">
        <v>365</v>
      </c>
      <c r="I30" s="167"/>
      <c r="J30" s="79"/>
      <c r="O30" s="5">
        <v>2036</v>
      </c>
      <c r="P30" s="5">
        <f t="shared" si="8"/>
        <v>1630</v>
      </c>
      <c r="Q30" s="116"/>
      <c r="R30" s="116"/>
      <c r="S30" s="116"/>
    </row>
    <row r="31" spans="1:19" ht="15" customHeight="1" x14ac:dyDescent="0.3">
      <c r="A31" s="256">
        <f t="shared" si="1"/>
        <v>2040</v>
      </c>
      <c r="B31" s="260">
        <f t="shared" si="2"/>
        <v>18</v>
      </c>
      <c r="C31" s="316">
        <f t="shared" si="9"/>
        <v>2864884.9999999995</v>
      </c>
      <c r="D31" s="263">
        <f t="shared" si="10"/>
        <v>1413963.9917499998</v>
      </c>
      <c r="E31" s="542"/>
      <c r="F31" s="116"/>
      <c r="G31" s="116"/>
      <c r="H31" s="116"/>
      <c r="I31" s="5"/>
      <c r="J31" s="79"/>
      <c r="O31" s="5">
        <v>2037</v>
      </c>
      <c r="P31" s="5">
        <f t="shared" si="8"/>
        <v>1640</v>
      </c>
      <c r="Q31" s="116"/>
      <c r="R31" s="116"/>
      <c r="S31" s="116"/>
    </row>
    <row r="32" spans="1:19" ht="15" customHeight="1" x14ac:dyDescent="0.3">
      <c r="A32" s="256">
        <f t="shared" si="1"/>
        <v>2041</v>
      </c>
      <c r="B32" s="260">
        <f t="shared" si="2"/>
        <v>19</v>
      </c>
      <c r="C32" s="316">
        <f t="shared" si="9"/>
        <v>2882039.9999999995</v>
      </c>
      <c r="D32" s="263">
        <f t="shared" si="10"/>
        <v>1422430.8419999997</v>
      </c>
      <c r="E32" s="542"/>
      <c r="F32" s="117"/>
      <c r="G32" s="117"/>
      <c r="H32" s="117"/>
      <c r="I32" s="117"/>
      <c r="J32" s="117"/>
      <c r="K32" s="117"/>
      <c r="L32" s="117"/>
      <c r="M32" s="117"/>
      <c r="N32" s="117"/>
      <c r="O32" s="5">
        <v>2038</v>
      </c>
      <c r="P32" s="5">
        <f t="shared" si="8"/>
        <v>1650</v>
      </c>
      <c r="Q32" s="117"/>
      <c r="R32" s="117"/>
      <c r="S32" s="117"/>
    </row>
    <row r="33" spans="1:19" ht="15" customHeight="1" x14ac:dyDescent="0.3">
      <c r="A33" s="256">
        <f t="shared" si="1"/>
        <v>2042</v>
      </c>
      <c r="B33" s="260">
        <f t="shared" si="2"/>
        <v>20</v>
      </c>
      <c r="C33" s="316">
        <f t="shared" si="9"/>
        <v>2899194.9999999995</v>
      </c>
      <c r="D33" s="263">
        <f t="shared" si="10"/>
        <v>1430897.6922499998</v>
      </c>
      <c r="E33" s="542"/>
      <c r="F33" s="117"/>
      <c r="G33" s="110"/>
      <c r="H33" s="109"/>
      <c r="I33" s="108"/>
      <c r="L33" s="117"/>
      <c r="M33" s="117"/>
      <c r="N33" s="117"/>
      <c r="O33" s="5">
        <v>2039</v>
      </c>
      <c r="P33" s="5">
        <f t="shared" si="8"/>
        <v>1660</v>
      </c>
      <c r="Q33" s="117"/>
      <c r="R33" s="117"/>
      <c r="S33" s="117"/>
    </row>
    <row r="34" spans="1:19" ht="15" customHeight="1" x14ac:dyDescent="0.3">
      <c r="A34" s="256">
        <f t="shared" si="1"/>
        <v>2043</v>
      </c>
      <c r="B34" s="260">
        <f t="shared" si="2"/>
        <v>21</v>
      </c>
      <c r="C34" s="316">
        <f t="shared" si="9"/>
        <v>2916349.9999999995</v>
      </c>
      <c r="D34" s="263">
        <f t="shared" si="10"/>
        <v>1439364.5425</v>
      </c>
      <c r="E34" s="542"/>
      <c r="F34" s="117"/>
      <c r="G34" s="110"/>
      <c r="L34" s="117"/>
      <c r="M34" s="117"/>
      <c r="N34" s="117"/>
      <c r="O34" s="5">
        <v>2040</v>
      </c>
      <c r="P34" s="5">
        <f t="shared" si="8"/>
        <v>1670</v>
      </c>
      <c r="Q34" s="117"/>
      <c r="R34" s="117"/>
      <c r="S34" s="117"/>
    </row>
    <row r="35" spans="1:19" ht="15" customHeight="1" x14ac:dyDescent="0.3">
      <c r="A35" s="256">
        <f t="shared" si="1"/>
        <v>2044</v>
      </c>
      <c r="B35" s="260">
        <f t="shared" si="2"/>
        <v>22</v>
      </c>
      <c r="C35" s="316">
        <f t="shared" si="9"/>
        <v>2933504.9999999995</v>
      </c>
      <c r="D35" s="263">
        <f t="shared" si="10"/>
        <v>1447831.3927499999</v>
      </c>
      <c r="E35" s="542"/>
      <c r="F35" s="117"/>
      <c r="L35" s="117"/>
      <c r="M35" s="117"/>
      <c r="N35" s="117"/>
      <c r="O35" s="5">
        <v>2041</v>
      </c>
      <c r="P35" s="5">
        <f t="shared" si="8"/>
        <v>1680</v>
      </c>
      <c r="Q35" s="117"/>
      <c r="R35" s="117"/>
      <c r="S35" s="117"/>
    </row>
    <row r="36" spans="1:19" ht="15" customHeight="1" x14ac:dyDescent="0.3">
      <c r="A36" s="256">
        <f t="shared" si="1"/>
        <v>2045</v>
      </c>
      <c r="B36" s="260">
        <f t="shared" si="2"/>
        <v>23</v>
      </c>
      <c r="C36" s="316">
        <f t="shared" si="9"/>
        <v>2950659.9999999995</v>
      </c>
      <c r="D36" s="263">
        <f t="shared" si="10"/>
        <v>1456298.2429999998</v>
      </c>
      <c r="E36" s="542"/>
      <c r="F36" s="117"/>
      <c r="H36" s="117"/>
      <c r="I36" s="117"/>
      <c r="J36" s="117"/>
      <c r="K36" s="117"/>
      <c r="L36" s="117"/>
      <c r="M36" s="117"/>
      <c r="N36" s="117"/>
      <c r="O36" s="5">
        <v>2042</v>
      </c>
      <c r="P36" s="5">
        <f t="shared" si="8"/>
        <v>1690</v>
      </c>
      <c r="Q36" s="117"/>
      <c r="R36" s="117"/>
      <c r="S36" s="117"/>
    </row>
    <row r="37" spans="1:19" ht="15" customHeight="1" x14ac:dyDescent="0.3">
      <c r="A37" s="256">
        <f t="shared" si="1"/>
        <v>2046</v>
      </c>
      <c r="B37" s="260">
        <f t="shared" si="2"/>
        <v>24</v>
      </c>
      <c r="C37" s="316">
        <f t="shared" si="9"/>
        <v>2967814.9999999995</v>
      </c>
      <c r="D37" s="263">
        <f t="shared" si="10"/>
        <v>1464765.0932499999</v>
      </c>
      <c r="E37" s="542"/>
      <c r="F37" s="117"/>
      <c r="K37" s="117"/>
      <c r="L37" s="117"/>
      <c r="M37" s="117"/>
      <c r="N37" s="117"/>
      <c r="O37" s="5">
        <v>2043</v>
      </c>
      <c r="P37" s="5">
        <f t="shared" si="8"/>
        <v>1700</v>
      </c>
      <c r="Q37" s="117"/>
      <c r="R37" s="117"/>
      <c r="S37" s="117"/>
    </row>
    <row r="38" spans="1:19" ht="15" customHeight="1" x14ac:dyDescent="0.3">
      <c r="A38" s="256">
        <f t="shared" si="1"/>
        <v>2047</v>
      </c>
      <c r="B38" s="260">
        <f t="shared" si="2"/>
        <v>25</v>
      </c>
      <c r="C38" s="316">
        <f t="shared" si="9"/>
        <v>2984969.9999999995</v>
      </c>
      <c r="D38" s="263">
        <f t="shared" si="10"/>
        <v>1473231.9434999998</v>
      </c>
      <c r="E38" s="542"/>
      <c r="F38" s="117"/>
      <c r="I38" s="5" t="s">
        <v>224</v>
      </c>
      <c r="J38" s="5" t="s">
        <v>226</v>
      </c>
      <c r="K38" s="117" t="s">
        <v>243</v>
      </c>
      <c r="L38" s="5" t="s">
        <v>244</v>
      </c>
      <c r="M38" s="117" t="s">
        <v>245</v>
      </c>
      <c r="N38" s="5" t="s">
        <v>246</v>
      </c>
      <c r="O38" s="5">
        <v>2044</v>
      </c>
      <c r="P38" s="5">
        <f t="shared" si="8"/>
        <v>1710</v>
      </c>
      <c r="Q38" s="117"/>
      <c r="R38" s="117"/>
      <c r="S38" s="117"/>
    </row>
    <row r="39" spans="1:19" ht="15" customHeight="1" x14ac:dyDescent="0.3">
      <c r="A39" s="256">
        <f t="shared" si="1"/>
        <v>2048</v>
      </c>
      <c r="B39" s="260">
        <f t="shared" si="2"/>
        <v>26</v>
      </c>
      <c r="C39" s="316">
        <f t="shared" si="9"/>
        <v>3002124.9999999995</v>
      </c>
      <c r="D39" s="263">
        <f t="shared" si="10"/>
        <v>1481698.7937499997</v>
      </c>
      <c r="E39" s="542"/>
      <c r="F39" s="117"/>
      <c r="H39" s="389" t="s">
        <v>223</v>
      </c>
      <c r="I39" s="78">
        <v>26.2</v>
      </c>
      <c r="J39" s="78">
        <v>34</v>
      </c>
      <c r="K39" s="284">
        <v>1500</v>
      </c>
      <c r="L39" s="284">
        <f>K39*I39</f>
        <v>39300</v>
      </c>
      <c r="M39" s="284">
        <v>1700</v>
      </c>
      <c r="N39" s="284">
        <f>M39*I39</f>
        <v>44540</v>
      </c>
      <c r="O39" s="5">
        <v>2045</v>
      </c>
      <c r="P39" s="5">
        <f t="shared" si="8"/>
        <v>1720</v>
      </c>
      <c r="Q39" s="117"/>
      <c r="R39" s="117"/>
      <c r="S39" s="117"/>
    </row>
    <row r="40" spans="1:19" ht="15" customHeight="1" x14ac:dyDescent="0.3">
      <c r="A40" s="256">
        <f t="shared" si="1"/>
        <v>2049</v>
      </c>
      <c r="B40" s="260">
        <f t="shared" si="2"/>
        <v>27</v>
      </c>
      <c r="C40" s="316">
        <f t="shared" si="9"/>
        <v>3019279.9999999995</v>
      </c>
      <c r="D40" s="263">
        <f t="shared" si="10"/>
        <v>1490165.6439999999</v>
      </c>
      <c r="E40" s="542"/>
      <c r="F40" s="117"/>
      <c r="H40" s="389" t="s">
        <v>225</v>
      </c>
      <c r="I40" s="78">
        <v>30.9</v>
      </c>
      <c r="J40" s="78">
        <v>42</v>
      </c>
      <c r="K40" s="284">
        <v>1500</v>
      </c>
      <c r="L40" s="284">
        <f>K40*I40</f>
        <v>46350</v>
      </c>
      <c r="M40" s="284">
        <v>1700</v>
      </c>
      <c r="N40" s="284">
        <f>M40*I40</f>
        <v>52530</v>
      </c>
      <c r="O40" s="5">
        <v>2046</v>
      </c>
      <c r="P40" s="5">
        <f t="shared" si="8"/>
        <v>1730</v>
      </c>
      <c r="Q40" s="117"/>
      <c r="R40" s="117"/>
      <c r="S40" s="117"/>
    </row>
    <row r="41" spans="1:19" ht="15" customHeight="1" x14ac:dyDescent="0.3">
      <c r="A41" s="256">
        <f>1+A40:A40</f>
        <v>2050</v>
      </c>
      <c r="B41" s="260">
        <f t="shared" si="2"/>
        <v>28</v>
      </c>
      <c r="C41" s="316">
        <f t="shared" si="9"/>
        <v>3036434.9999999995</v>
      </c>
      <c r="D41" s="263">
        <f t="shared" si="10"/>
        <v>1498632.4942499998</v>
      </c>
      <c r="E41" s="542"/>
      <c r="F41" s="117"/>
      <c r="G41" s="117"/>
      <c r="H41" s="117"/>
      <c r="I41" s="117"/>
      <c r="J41" s="117"/>
      <c r="K41" s="117"/>
      <c r="L41" s="117"/>
      <c r="M41" s="117"/>
      <c r="N41" s="117"/>
      <c r="O41" s="5">
        <v>2047</v>
      </c>
      <c r="P41" s="5">
        <f t="shared" si="8"/>
        <v>1740</v>
      </c>
      <c r="Q41" s="117"/>
      <c r="R41" s="117"/>
      <c r="S41" s="117"/>
    </row>
    <row r="42" spans="1:19" ht="15" customHeight="1" x14ac:dyDescent="0.3">
      <c r="A42" s="256">
        <f t="shared" si="1"/>
        <v>2051</v>
      </c>
      <c r="B42" s="260">
        <f t="shared" si="2"/>
        <v>29</v>
      </c>
      <c r="C42" s="316">
        <f t="shared" si="9"/>
        <v>3053589.9999999995</v>
      </c>
      <c r="D42" s="263">
        <f t="shared" si="10"/>
        <v>1507099.3444999999</v>
      </c>
      <c r="E42" s="542"/>
      <c r="F42" s="117"/>
      <c r="G42" s="117"/>
      <c r="H42" s="117"/>
      <c r="I42" s="117"/>
      <c r="J42" s="117"/>
      <c r="K42" s="117"/>
      <c r="L42" s="117"/>
      <c r="M42" s="117"/>
      <c r="N42" s="117"/>
      <c r="O42" s="5">
        <v>2048</v>
      </c>
      <c r="P42" s="5">
        <f t="shared" si="8"/>
        <v>1750</v>
      </c>
      <c r="Q42" s="117"/>
      <c r="R42" s="117"/>
      <c r="S42" s="117"/>
    </row>
    <row r="43" spans="1:19" ht="15" customHeight="1" x14ac:dyDescent="0.3">
      <c r="A43" s="256">
        <f t="shared" si="1"/>
        <v>2052</v>
      </c>
      <c r="B43" s="260">
        <f t="shared" si="2"/>
        <v>30</v>
      </c>
      <c r="C43" s="316">
        <f t="shared" si="9"/>
        <v>3070744.9999999995</v>
      </c>
      <c r="D43" s="263">
        <f t="shared" si="10"/>
        <v>1515566.1947499998</v>
      </c>
      <c r="E43" s="542"/>
      <c r="F43" s="117"/>
      <c r="G43" s="117"/>
      <c r="H43" s="117"/>
      <c r="I43" s="117"/>
      <c r="J43" s="117"/>
      <c r="K43" s="117"/>
      <c r="L43" s="117"/>
      <c r="M43" s="117"/>
      <c r="N43" s="117"/>
      <c r="O43" s="5">
        <v>2049</v>
      </c>
      <c r="P43" s="5">
        <f t="shared" si="8"/>
        <v>1760</v>
      </c>
      <c r="Q43" s="117"/>
      <c r="R43" s="117"/>
      <c r="S43" s="117"/>
    </row>
    <row r="44" spans="1:19" ht="15" customHeight="1" x14ac:dyDescent="0.3">
      <c r="A44" s="256">
        <f t="shared" si="1"/>
        <v>2053</v>
      </c>
      <c r="B44" s="260">
        <f t="shared" si="2"/>
        <v>31</v>
      </c>
      <c r="C44" s="316">
        <f t="shared" si="9"/>
        <v>3087899.9999999995</v>
      </c>
      <c r="D44" s="263">
        <f t="shared" si="10"/>
        <v>1524033.0449999999</v>
      </c>
      <c r="E44" s="542"/>
      <c r="F44" s="117"/>
      <c r="G44" s="117"/>
      <c r="H44" s="117"/>
      <c r="I44" s="117"/>
      <c r="J44" s="117"/>
      <c r="K44" s="117"/>
      <c r="L44" s="117"/>
      <c r="M44" s="117"/>
      <c r="N44" s="117"/>
      <c r="O44" s="5">
        <v>2050</v>
      </c>
      <c r="P44" s="5">
        <f t="shared" si="8"/>
        <v>1770</v>
      </c>
      <c r="Q44" s="117"/>
      <c r="R44" s="117"/>
      <c r="S44" s="117"/>
    </row>
    <row r="45" spans="1:19" ht="15" customHeight="1" x14ac:dyDescent="0.3">
      <c r="A45" s="256">
        <f t="shared" si="1"/>
        <v>2054</v>
      </c>
      <c r="B45" s="260">
        <f t="shared" si="2"/>
        <v>32</v>
      </c>
      <c r="C45" s="316">
        <f t="shared" si="9"/>
        <v>3105054.9999999995</v>
      </c>
      <c r="D45" s="263">
        <f t="shared" si="10"/>
        <v>1532499.8952499996</v>
      </c>
      <c r="E45" s="542"/>
      <c r="F45" s="117"/>
      <c r="G45" s="117"/>
      <c r="H45" s="117"/>
      <c r="I45" s="117"/>
      <c r="J45" s="117"/>
      <c r="K45" s="117"/>
      <c r="L45" s="117"/>
      <c r="M45" s="117"/>
      <c r="N45" s="117"/>
      <c r="O45" s="5">
        <v>2051</v>
      </c>
      <c r="P45" s="5">
        <f t="shared" si="8"/>
        <v>1780</v>
      </c>
      <c r="Q45" s="117"/>
      <c r="R45" s="117"/>
      <c r="S45" s="117"/>
    </row>
    <row r="46" spans="1:19" ht="15" customHeight="1" thickBot="1" x14ac:dyDescent="0.35">
      <c r="A46" s="356">
        <f t="shared" si="1"/>
        <v>2055</v>
      </c>
      <c r="B46" s="357">
        <f t="shared" si="2"/>
        <v>33</v>
      </c>
      <c r="C46" s="317">
        <f t="shared" si="9"/>
        <v>3122209.9999999995</v>
      </c>
      <c r="D46" s="421">
        <f t="shared" si="10"/>
        <v>1540966.7455000002</v>
      </c>
      <c r="E46" s="542"/>
      <c r="F46" s="117"/>
      <c r="G46" s="117"/>
      <c r="H46" s="117"/>
      <c r="I46" s="117"/>
      <c r="J46" s="117"/>
      <c r="K46" s="117"/>
      <c r="L46" s="117"/>
      <c r="M46" s="117"/>
      <c r="N46" s="117"/>
      <c r="O46" s="5">
        <v>2052</v>
      </c>
      <c r="P46" s="5">
        <f t="shared" si="8"/>
        <v>1790</v>
      </c>
      <c r="Q46" s="117"/>
      <c r="R46" s="117"/>
      <c r="S46" s="117"/>
    </row>
    <row r="47" spans="1:19" ht="15" customHeight="1" thickBot="1" x14ac:dyDescent="0.35">
      <c r="D47" s="112">
        <f>SUM(D13:D46)</f>
        <v>37313409.051749997</v>
      </c>
      <c r="E47" s="328"/>
      <c r="F47" s="117"/>
      <c r="G47" s="117"/>
      <c r="H47" s="117"/>
      <c r="I47" s="117"/>
      <c r="J47" s="117"/>
      <c r="K47" s="117"/>
      <c r="L47" s="117"/>
      <c r="M47" s="117"/>
      <c r="N47" s="117"/>
      <c r="O47" s="5">
        <v>2053</v>
      </c>
      <c r="P47" s="5">
        <f t="shared" si="8"/>
        <v>1800</v>
      </c>
      <c r="Q47" s="117"/>
      <c r="R47" s="117"/>
      <c r="S47" s="117"/>
    </row>
    <row r="48" spans="1:19" ht="15" customHeight="1" x14ac:dyDescent="0.3">
      <c r="D48" s="344"/>
      <c r="E48" s="344"/>
      <c r="F48" s="117"/>
      <c r="G48" s="117"/>
      <c r="H48" s="117"/>
      <c r="I48" s="117"/>
      <c r="J48" s="117"/>
      <c r="K48" s="117"/>
      <c r="L48" s="117"/>
      <c r="M48" s="117"/>
      <c r="N48" s="117"/>
      <c r="O48" s="5">
        <v>2054</v>
      </c>
      <c r="P48" s="5">
        <f t="shared" si="8"/>
        <v>1810</v>
      </c>
      <c r="Q48" s="117"/>
      <c r="R48" s="117"/>
      <c r="S48" s="117"/>
    </row>
    <row r="49" spans="4:25" ht="15" customHeight="1" x14ac:dyDescent="0.3">
      <c r="D49" s="344"/>
      <c r="E49" s="344"/>
      <c r="F49" s="117"/>
      <c r="G49" s="117"/>
      <c r="H49" s="117"/>
      <c r="I49" s="117"/>
      <c r="J49" s="117"/>
      <c r="K49" s="117"/>
      <c r="L49" s="117"/>
      <c r="M49" s="117"/>
      <c r="N49" s="117"/>
      <c r="O49" s="5">
        <v>2055</v>
      </c>
      <c r="P49" s="5">
        <f t="shared" si="8"/>
        <v>1820</v>
      </c>
      <c r="Q49" s="117"/>
      <c r="R49" s="117"/>
      <c r="S49" s="117"/>
    </row>
    <row r="50" spans="4:25" ht="15" customHeight="1" x14ac:dyDescent="0.3">
      <c r="D50" s="344"/>
      <c r="E50" s="344"/>
      <c r="F50" s="117"/>
      <c r="G50" s="117"/>
      <c r="H50" s="117"/>
      <c r="I50" s="117"/>
      <c r="J50" s="117"/>
      <c r="K50" s="117"/>
      <c r="L50" s="117"/>
      <c r="M50" s="117"/>
      <c r="N50" s="117"/>
      <c r="Q50" s="117"/>
      <c r="R50" s="117"/>
      <c r="S50" s="117"/>
      <c r="T50" s="56"/>
      <c r="U50" s="56"/>
      <c r="V50" s="56"/>
      <c r="W50" s="56"/>
      <c r="X50" s="56"/>
      <c r="Y50" s="56"/>
    </row>
    <row r="51" spans="4:25" ht="15" customHeight="1" x14ac:dyDescent="0.3"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56"/>
      <c r="U51" s="56"/>
      <c r="V51" s="56"/>
      <c r="W51" s="56"/>
      <c r="X51" s="56"/>
      <c r="Y51" s="56"/>
    </row>
    <row r="52" spans="4:25" ht="15" customHeight="1" x14ac:dyDescent="0.3"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56"/>
      <c r="U52" s="56"/>
      <c r="V52" s="56"/>
      <c r="W52" s="56"/>
      <c r="X52" s="56"/>
      <c r="Y52" s="56"/>
    </row>
    <row r="53" spans="4:25" ht="15" customHeight="1" x14ac:dyDescent="0.3"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4:25" ht="15" customHeight="1" x14ac:dyDescent="0.3"/>
    <row r="55" spans="4:25" ht="15" customHeight="1" x14ac:dyDescent="0.3"/>
    <row r="56" spans="4:25" ht="15" customHeight="1" x14ac:dyDescent="0.3"/>
    <row r="57" spans="4:25" ht="15" customHeight="1" x14ac:dyDescent="0.3"/>
    <row r="72" ht="15" customHeight="1" x14ac:dyDescent="0.3"/>
  </sheetData>
  <mergeCells count="12">
    <mergeCell ref="E21:E46"/>
    <mergeCell ref="A10:A12"/>
    <mergeCell ref="B10:B12"/>
    <mergeCell ref="N2:P2"/>
    <mergeCell ref="A2:L2"/>
    <mergeCell ref="A3:L3"/>
    <mergeCell ref="A4:L4"/>
    <mergeCell ref="A5:L5"/>
    <mergeCell ref="H10:J10"/>
    <mergeCell ref="K10:M10"/>
    <mergeCell ref="C10:C12"/>
    <mergeCell ref="D10:D12"/>
  </mergeCells>
  <hyperlinks>
    <hyperlink ref="A4" r:id="rId1" xr:uid="{E31A56F4-236C-4C65-BC5E-31C57B0CFA51}"/>
  </hyperlinks>
  <pageMargins left="0.35" right="0.2" top="0.75" bottom="0.75" header="0.3" footer="0.3"/>
  <pageSetup paperSize="133" scale="56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785C-4FB8-4E8A-9714-8E57BE5F7DDE}">
  <sheetPr>
    <tabColor rgb="FF0070C0"/>
    <pageSetUpPr fitToPage="1"/>
  </sheetPr>
  <dimension ref="A1:AE59"/>
  <sheetViews>
    <sheetView view="pageBreakPreview" topLeftCell="A8" zoomScale="70" zoomScaleNormal="100" zoomScaleSheetLayoutView="70" workbookViewId="0">
      <selection activeCell="E26" sqref="E26"/>
    </sheetView>
  </sheetViews>
  <sheetFormatPr defaultRowHeight="14.4" x14ac:dyDescent="0.3"/>
  <cols>
    <col min="1" max="3" width="12.6640625" customWidth="1"/>
    <col min="4" max="4" width="17" customWidth="1"/>
    <col min="5" max="5" width="17.44140625" customWidth="1"/>
    <col min="6" max="13" width="12.6640625" customWidth="1"/>
  </cols>
  <sheetData>
    <row r="1" spans="1:31" s="209" customFormat="1" ht="5.4" customHeight="1" x14ac:dyDescent="0.25">
      <c r="A1" s="232"/>
      <c r="B1" s="230"/>
      <c r="C1" s="230"/>
      <c r="D1" s="230"/>
      <c r="E1" s="232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10"/>
    </row>
    <row r="2" spans="1:31" s="209" customFormat="1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226" t="s">
        <v>118</v>
      </c>
      <c r="K2" s="546" t="s">
        <v>249</v>
      </c>
      <c r="L2" s="546"/>
      <c r="M2" s="546"/>
      <c r="Q2" s="344"/>
      <c r="R2" s="210"/>
    </row>
    <row r="3" spans="1:31" s="209" customFormat="1" ht="14.25" customHeight="1" x14ac:dyDescent="0.3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226" t="s">
        <v>116</v>
      </c>
      <c r="K3" s="341">
        <f ca="1">_xlfn.SHEET()-1</f>
        <v>4</v>
      </c>
      <c r="L3" s="345" t="s">
        <v>115</v>
      </c>
      <c r="M3" s="341">
        <f ca="1">_xlfn.SHEETS()-2</f>
        <v>10</v>
      </c>
      <c r="Q3" s="344"/>
      <c r="R3" s="210"/>
    </row>
    <row r="4" spans="1:31" s="209" customFormat="1" ht="14.25" customHeight="1" x14ac:dyDescent="0.3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226" t="s">
        <v>113</v>
      </c>
      <c r="K4" s="341" t="s">
        <v>252</v>
      </c>
      <c r="L4" s="346" t="s">
        <v>111</v>
      </c>
      <c r="M4" s="343">
        <v>45118</v>
      </c>
      <c r="Q4" s="344"/>
      <c r="R4" s="210"/>
    </row>
    <row r="5" spans="1:31" s="209" customFormat="1" ht="14.25" customHeight="1" x14ac:dyDescent="0.3">
      <c r="A5" s="210"/>
      <c r="B5" s="210"/>
      <c r="C5" s="210"/>
      <c r="D5" s="210"/>
      <c r="E5" s="210"/>
      <c r="F5" s="210"/>
      <c r="G5" s="210"/>
      <c r="H5" s="210"/>
      <c r="I5" s="210"/>
      <c r="J5" s="226" t="s">
        <v>112</v>
      </c>
      <c r="K5" s="341" t="s">
        <v>265</v>
      </c>
      <c r="L5" s="346" t="s">
        <v>111</v>
      </c>
      <c r="M5" s="342">
        <v>45118</v>
      </c>
      <c r="Q5" s="344"/>
      <c r="R5" s="210"/>
    </row>
    <row r="6" spans="1:31" s="209" customFormat="1" ht="14.25" customHeight="1" x14ac:dyDescent="0.3">
      <c r="A6" s="210"/>
      <c r="C6" s="227"/>
      <c r="E6" s="225"/>
      <c r="F6" s="225"/>
      <c r="G6" s="344"/>
      <c r="H6" s="344"/>
      <c r="I6" s="344"/>
      <c r="J6" s="226" t="s">
        <v>110</v>
      </c>
      <c r="K6" s="341">
        <v>18683.060000000001</v>
      </c>
      <c r="L6" s="346" t="s">
        <v>109</v>
      </c>
      <c r="M6" s="341" t="s">
        <v>158</v>
      </c>
      <c r="Q6" s="344"/>
      <c r="R6" s="210"/>
    </row>
    <row r="7" spans="1:31" s="209" customFormat="1" ht="4.5" customHeigh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P7" s="223"/>
      <c r="Q7" s="344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10"/>
    </row>
    <row r="8" spans="1:31" x14ac:dyDescent="0.3">
      <c r="A8" t="s">
        <v>32</v>
      </c>
    </row>
    <row r="10" spans="1:31" x14ac:dyDescent="0.3">
      <c r="D10" s="30"/>
      <c r="E10" s="78"/>
      <c r="F10" s="79"/>
    </row>
    <row r="11" spans="1:31" x14ac:dyDescent="0.3">
      <c r="D11" s="30" t="s">
        <v>33</v>
      </c>
      <c r="E11" s="80">
        <f>'VHT Savings'!J15</f>
        <v>226.66666666666674</v>
      </c>
      <c r="F11" s="79" t="s">
        <v>261</v>
      </c>
    </row>
    <row r="13" spans="1:31" x14ac:dyDescent="0.3">
      <c r="E13" s="81"/>
      <c r="F13" s="79"/>
    </row>
    <row r="14" spans="1:31" x14ac:dyDescent="0.3">
      <c r="E14" s="5">
        <v>365</v>
      </c>
      <c r="F14" s="79" t="s">
        <v>262</v>
      </c>
    </row>
    <row r="15" spans="1:31" x14ac:dyDescent="0.3">
      <c r="E15" s="5"/>
      <c r="F15" s="79"/>
    </row>
    <row r="16" spans="1:31" x14ac:dyDescent="0.3">
      <c r="D16" s="30" t="s">
        <v>37</v>
      </c>
      <c r="E16" s="418">
        <f>E14*E11</f>
        <v>82733.333333333358</v>
      </c>
      <c r="F16" s="79" t="s">
        <v>263</v>
      </c>
    </row>
    <row r="18" spans="2:7" ht="15" thickBot="1" x14ac:dyDescent="0.35">
      <c r="F18" s="79"/>
    </row>
    <row r="19" spans="2:7" ht="15" customHeight="1" x14ac:dyDescent="0.3">
      <c r="B19" s="554" t="s">
        <v>99</v>
      </c>
      <c r="C19" s="555"/>
      <c r="D19" s="556"/>
      <c r="E19" s="190" t="s">
        <v>91</v>
      </c>
      <c r="F19" s="64"/>
      <c r="G19" s="64"/>
    </row>
    <row r="20" spans="2:7" ht="15" customHeight="1" thickBot="1" x14ac:dyDescent="0.35">
      <c r="B20" s="557"/>
      <c r="C20" s="558"/>
      <c r="D20" s="559"/>
      <c r="E20" s="191" t="s">
        <v>28</v>
      </c>
      <c r="F20" s="192" t="s">
        <v>100</v>
      </c>
      <c r="G20" s="64"/>
    </row>
    <row r="21" spans="2:7" ht="15" thickBot="1" x14ac:dyDescent="0.35">
      <c r="B21" s="50" t="s">
        <v>98</v>
      </c>
      <c r="C21" s="82"/>
      <c r="D21" s="83" t="s">
        <v>285</v>
      </c>
      <c r="E21" s="191" t="s">
        <v>29</v>
      </c>
      <c r="F21" s="192" t="s">
        <v>153</v>
      </c>
    </row>
    <row r="22" spans="2:7" x14ac:dyDescent="0.3">
      <c r="B22" s="84" t="s">
        <v>38</v>
      </c>
      <c r="C22" s="85"/>
      <c r="D22" s="86"/>
      <c r="E22" s="191" t="s">
        <v>30</v>
      </c>
      <c r="F22" s="192" t="s">
        <v>103</v>
      </c>
    </row>
    <row r="23" spans="2:7" x14ac:dyDescent="0.3">
      <c r="B23" s="90" t="s">
        <v>17</v>
      </c>
      <c r="C23" s="51"/>
      <c r="D23" s="52">
        <v>17</v>
      </c>
    </row>
    <row r="24" spans="2:7" x14ac:dyDescent="0.3">
      <c r="B24" s="91" t="s">
        <v>18</v>
      </c>
      <c r="C24" s="53"/>
      <c r="D24" s="52">
        <v>31.9</v>
      </c>
      <c r="F24" s="416"/>
    </row>
    <row r="25" spans="2:7" x14ac:dyDescent="0.3">
      <c r="B25" s="87"/>
      <c r="C25" s="88"/>
      <c r="D25" s="89"/>
      <c r="F25" s="417"/>
    </row>
    <row r="26" spans="2:7" x14ac:dyDescent="0.3">
      <c r="B26" s="93" t="s">
        <v>40</v>
      </c>
      <c r="C26" s="94"/>
      <c r="D26" s="95"/>
    </row>
    <row r="27" spans="2:7" ht="15" thickBot="1" x14ac:dyDescent="0.35">
      <c r="B27" s="92" t="s">
        <v>39</v>
      </c>
      <c r="C27" s="54"/>
      <c r="D27" s="55">
        <v>32.4</v>
      </c>
    </row>
    <row r="28" spans="2:7" ht="15" thickBot="1" x14ac:dyDescent="0.35"/>
    <row r="29" spans="2:7" ht="30" customHeight="1" thickBot="1" x14ac:dyDescent="0.35">
      <c r="B29" s="561" t="s">
        <v>101</v>
      </c>
      <c r="C29" s="562"/>
      <c r="D29" s="563"/>
    </row>
    <row r="30" spans="2:7" x14ac:dyDescent="0.3">
      <c r="B30" s="84" t="s">
        <v>18</v>
      </c>
      <c r="C30" s="96"/>
      <c r="D30" s="97">
        <v>0.11799999999999999</v>
      </c>
    </row>
    <row r="31" spans="2:7" ht="15" thickBot="1" x14ac:dyDescent="0.35">
      <c r="B31" s="98" t="s">
        <v>19</v>
      </c>
      <c r="C31" s="99"/>
      <c r="D31" s="100">
        <v>0.88200000000000001</v>
      </c>
    </row>
    <row r="32" spans="2:7" ht="15" thickBot="1" x14ac:dyDescent="0.35"/>
    <row r="33" spans="2:5" ht="30" customHeight="1" thickBot="1" x14ac:dyDescent="0.35">
      <c r="B33" s="551" t="s">
        <v>102</v>
      </c>
      <c r="C33" s="552"/>
      <c r="D33" s="553"/>
    </row>
    <row r="34" spans="2:5" x14ac:dyDescent="0.3">
      <c r="B34" s="84" t="s">
        <v>41</v>
      </c>
      <c r="C34" s="96"/>
      <c r="D34" s="102">
        <v>1.67</v>
      </c>
    </row>
    <row r="35" spans="2:5" ht="15" thickBot="1" x14ac:dyDescent="0.35">
      <c r="B35" s="98" t="s">
        <v>42</v>
      </c>
      <c r="C35" s="99"/>
      <c r="D35" s="103">
        <v>1</v>
      </c>
    </row>
    <row r="36" spans="2:5" x14ac:dyDescent="0.3">
      <c r="D36" s="101"/>
    </row>
    <row r="38" spans="2:5" x14ac:dyDescent="0.3">
      <c r="B38" t="s">
        <v>43</v>
      </c>
      <c r="C38" s="104">
        <v>6.0999999999999999E-2</v>
      </c>
      <c r="D38" t="s">
        <v>248</v>
      </c>
    </row>
    <row r="39" spans="2:5" x14ac:dyDescent="0.3">
      <c r="C39" s="105">
        <f>1-C38</f>
        <v>0.93900000000000006</v>
      </c>
      <c r="D39" t="s">
        <v>44</v>
      </c>
    </row>
    <row r="40" spans="2:5" x14ac:dyDescent="0.3">
      <c r="D40" s="107">
        <f>D30</f>
        <v>0.11799999999999999</v>
      </c>
      <c r="E40" t="s">
        <v>48</v>
      </c>
    </row>
    <row r="41" spans="2:5" x14ac:dyDescent="0.3">
      <c r="C41" s="105"/>
      <c r="D41" s="107">
        <f>D31</f>
        <v>0.88200000000000001</v>
      </c>
      <c r="E41" t="s">
        <v>49</v>
      </c>
    </row>
    <row r="43" spans="2:5" x14ac:dyDescent="0.3">
      <c r="D43" s="30" t="s">
        <v>45</v>
      </c>
      <c r="E43" t="s">
        <v>46</v>
      </c>
    </row>
    <row r="44" spans="2:5" x14ac:dyDescent="0.3">
      <c r="D44" s="106" t="s">
        <v>47</v>
      </c>
      <c r="E44" s="10">
        <f>C38*D27*D35</f>
        <v>1.9763999999999999</v>
      </c>
    </row>
    <row r="46" spans="2:5" x14ac:dyDescent="0.3">
      <c r="D46" s="30" t="s">
        <v>50</v>
      </c>
      <c r="E46" t="s">
        <v>52</v>
      </c>
    </row>
    <row r="47" spans="2:5" x14ac:dyDescent="0.3">
      <c r="D47" s="106" t="s">
        <v>47</v>
      </c>
      <c r="E47" s="10">
        <f>D40*D24*D34*C39</f>
        <v>5.9027549459999999</v>
      </c>
    </row>
    <row r="49" spans="2:6" x14ac:dyDescent="0.3">
      <c r="D49" s="30" t="s">
        <v>51</v>
      </c>
      <c r="E49" t="s">
        <v>53</v>
      </c>
    </row>
    <row r="50" spans="2:6" x14ac:dyDescent="0.3">
      <c r="D50" s="106" t="s">
        <v>47</v>
      </c>
      <c r="E50" s="10">
        <f>D41*D23*D34*C39</f>
        <v>23.512541220000003</v>
      </c>
    </row>
    <row r="52" spans="2:6" x14ac:dyDescent="0.3">
      <c r="D52" s="30" t="s">
        <v>54</v>
      </c>
      <c r="E52" t="s">
        <v>55</v>
      </c>
    </row>
    <row r="53" spans="2:6" x14ac:dyDescent="0.3">
      <c r="D53" s="106" t="s">
        <v>47</v>
      </c>
      <c r="E53" s="10">
        <f>SUM(E44+E47+E50)</f>
        <v>31.391696166000003</v>
      </c>
    </row>
    <row r="55" spans="2:6" x14ac:dyDescent="0.3">
      <c r="B55" s="560"/>
      <c r="C55" s="560"/>
      <c r="D55" s="560"/>
      <c r="E55" s="271"/>
    </row>
    <row r="56" spans="2:6" x14ac:dyDescent="0.3">
      <c r="B56" s="560"/>
      <c r="C56" s="560"/>
      <c r="D56" s="560"/>
    </row>
    <row r="57" spans="2:6" ht="15" customHeight="1" x14ac:dyDescent="0.3">
      <c r="B57" s="560" t="s">
        <v>264</v>
      </c>
      <c r="C57" s="560"/>
      <c r="D57" s="560"/>
      <c r="E57" s="271">
        <f>E53*E16</f>
        <v>2597139.662800401</v>
      </c>
      <c r="F57" t="s">
        <v>276</v>
      </c>
    </row>
    <row r="58" spans="2:6" x14ac:dyDescent="0.3">
      <c r="B58" s="560"/>
      <c r="C58" s="560"/>
      <c r="D58" s="560"/>
    </row>
    <row r="59" spans="2:6" x14ac:dyDescent="0.3">
      <c r="B59" s="1"/>
      <c r="C59" s="1"/>
      <c r="D59" s="1"/>
    </row>
  </sheetData>
  <mergeCells count="9">
    <mergeCell ref="B33:D33"/>
    <mergeCell ref="B19:D20"/>
    <mergeCell ref="B57:D58"/>
    <mergeCell ref="B55:D56"/>
    <mergeCell ref="K2:M2"/>
    <mergeCell ref="A2:I2"/>
    <mergeCell ref="A3:I3"/>
    <mergeCell ref="A4:I4"/>
    <mergeCell ref="B29:D29"/>
  </mergeCells>
  <hyperlinks>
    <hyperlink ref="A4" r:id="rId1" xr:uid="{4B6767D2-B5C6-4F46-9B27-00F122C97E88}"/>
  </hyperlinks>
  <pageMargins left="0.7" right="0.7" top="0.75" bottom="0.75" header="0.3" footer="0.3"/>
  <pageSetup paperSize="133" scale="61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1673-5F6D-4E68-BD1D-87E7A61FCCC6}">
  <sheetPr>
    <tabColor rgb="FF0070C0"/>
    <pageSetUpPr fitToPage="1"/>
  </sheetPr>
  <dimension ref="A1:AE70"/>
  <sheetViews>
    <sheetView view="pageBreakPreview" topLeftCell="A4" zoomScale="75" zoomScaleNormal="90" zoomScaleSheetLayoutView="75" workbookViewId="0">
      <selection activeCell="I1" sqref="I1:I1048576"/>
    </sheetView>
  </sheetViews>
  <sheetFormatPr defaultRowHeight="14.4" x14ac:dyDescent="0.3"/>
  <cols>
    <col min="1" max="3" width="15.6640625" customWidth="1"/>
    <col min="4" max="4" width="18" bestFit="1" customWidth="1"/>
    <col min="5" max="6" width="15.6640625" customWidth="1"/>
    <col min="7" max="7" width="16.6640625" bestFit="1" customWidth="1"/>
    <col min="8" max="19" width="15.6640625" customWidth="1"/>
    <col min="20" max="20" width="16.109375" customWidth="1"/>
    <col min="21" max="21" width="16.88671875" customWidth="1"/>
    <col min="22" max="22" width="15" customWidth="1"/>
    <col min="23" max="23" width="34.5546875" customWidth="1"/>
  </cols>
  <sheetData>
    <row r="1" spans="1:31" s="209" customFormat="1" ht="5.4" customHeight="1" x14ac:dyDescent="0.25">
      <c r="A1" s="232"/>
      <c r="B1" s="230"/>
      <c r="C1" s="230"/>
      <c r="D1" s="230"/>
      <c r="E1" s="232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10"/>
    </row>
    <row r="2" spans="1:31" s="209" customFormat="1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226" t="s">
        <v>118</v>
      </c>
      <c r="N2" s="546" t="s">
        <v>249</v>
      </c>
      <c r="O2" s="546"/>
      <c r="P2" s="546"/>
      <c r="Q2" s="344"/>
      <c r="R2" s="210"/>
    </row>
    <row r="3" spans="1:31" s="209" customFormat="1" ht="14.25" customHeight="1" x14ac:dyDescent="0.3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226" t="s">
        <v>116</v>
      </c>
      <c r="N3" s="341">
        <f ca="1">_xlfn.SHEET()-1</f>
        <v>5</v>
      </c>
      <c r="O3" s="345" t="s">
        <v>115</v>
      </c>
      <c r="P3" s="341">
        <f ca="1">_xlfn.SHEETS()-2</f>
        <v>10</v>
      </c>
      <c r="Q3" s="344"/>
      <c r="R3" s="210"/>
    </row>
    <row r="4" spans="1:31" s="209" customFormat="1" ht="14.25" customHeight="1" x14ac:dyDescent="0.3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226" t="s">
        <v>113</v>
      </c>
      <c r="N4" s="341" t="s">
        <v>252</v>
      </c>
      <c r="O4" s="346" t="s">
        <v>111</v>
      </c>
      <c r="P4" s="343">
        <v>45118</v>
      </c>
      <c r="Q4" s="344"/>
      <c r="R4" s="210"/>
    </row>
    <row r="5" spans="1:31" s="209" customFormat="1" ht="14.25" customHeight="1" x14ac:dyDescent="0.3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226" t="s">
        <v>112</v>
      </c>
      <c r="N5" s="341" t="s">
        <v>265</v>
      </c>
      <c r="O5" s="346" t="s">
        <v>111</v>
      </c>
      <c r="P5" s="342">
        <v>45118</v>
      </c>
      <c r="Q5" s="344"/>
      <c r="R5" s="210"/>
    </row>
    <row r="6" spans="1:31" s="209" customFormat="1" ht="14.25" customHeight="1" x14ac:dyDescent="0.3">
      <c r="A6" s="210"/>
      <c r="C6" s="227"/>
      <c r="E6" s="225"/>
      <c r="F6" s="225"/>
      <c r="G6" s="344"/>
      <c r="H6" s="344"/>
      <c r="I6" s="344"/>
      <c r="J6" s="344"/>
      <c r="K6" s="344"/>
      <c r="L6" s="344"/>
      <c r="M6" s="226" t="s">
        <v>110</v>
      </c>
      <c r="N6" s="341">
        <v>18683.060000000001</v>
      </c>
      <c r="O6" s="346" t="s">
        <v>109</v>
      </c>
      <c r="P6" s="341" t="s">
        <v>158</v>
      </c>
      <c r="Q6" s="344"/>
      <c r="R6" s="210"/>
    </row>
    <row r="7" spans="1:31" s="209" customFormat="1" ht="4.5" customHeigh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P7" s="223"/>
      <c r="Q7" s="344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10"/>
    </row>
    <row r="8" spans="1:31" ht="15.6" x14ac:dyDescent="0.3">
      <c r="A8" s="7" t="s">
        <v>179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31" ht="16.2" thickBo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31" ht="60.75" customHeight="1" thickBot="1" x14ac:dyDescent="0.35">
      <c r="A10" s="543" t="s">
        <v>0</v>
      </c>
      <c r="B10" s="543" t="s">
        <v>1</v>
      </c>
      <c r="C10" s="543" t="s">
        <v>168</v>
      </c>
      <c r="D10" s="543" t="s">
        <v>275</v>
      </c>
      <c r="E10" s="7"/>
      <c r="F10" s="7"/>
      <c r="G10" s="7"/>
      <c r="H10" s="565" t="s">
        <v>169</v>
      </c>
      <c r="I10" s="565"/>
      <c r="J10" s="565"/>
      <c r="K10" s="565" t="s">
        <v>170</v>
      </c>
      <c r="L10" s="565"/>
      <c r="M10" s="565"/>
      <c r="N10" s="7"/>
      <c r="O10" s="7"/>
      <c r="P10" s="7"/>
      <c r="Q10" s="7"/>
      <c r="R10" s="7"/>
      <c r="S10" s="7"/>
    </row>
    <row r="11" spans="1:31" ht="16.5" customHeight="1" x14ac:dyDescent="0.3">
      <c r="A11" s="544"/>
      <c r="B11" s="544"/>
      <c r="C11" s="544"/>
      <c r="D11" s="544"/>
      <c r="E11" s="115"/>
      <c r="H11" s="23" t="s">
        <v>164</v>
      </c>
      <c r="I11" s="392" t="s">
        <v>165</v>
      </c>
      <c r="J11" s="396" t="s">
        <v>165</v>
      </c>
      <c r="K11" s="23" t="s">
        <v>164</v>
      </c>
      <c r="L11" s="392" t="s">
        <v>165</v>
      </c>
      <c r="M11" s="396" t="s">
        <v>165</v>
      </c>
      <c r="N11" s="566"/>
      <c r="O11" s="566"/>
      <c r="P11" s="115"/>
      <c r="Q11" s="115"/>
      <c r="R11" s="115"/>
      <c r="S11" s="115"/>
    </row>
    <row r="12" spans="1:31" ht="15" thickBot="1" x14ac:dyDescent="0.35">
      <c r="A12" s="545"/>
      <c r="B12" s="545"/>
      <c r="C12" s="545"/>
      <c r="D12" s="545"/>
      <c r="E12" s="115"/>
      <c r="H12" s="298">
        <v>2030</v>
      </c>
      <c r="I12" s="287">
        <v>2030</v>
      </c>
      <c r="J12" s="299">
        <v>2043</v>
      </c>
      <c r="K12" s="397">
        <f>H12</f>
        <v>2030</v>
      </c>
      <c r="L12" s="287">
        <f t="shared" ref="L12:M12" si="0">I12</f>
        <v>2030</v>
      </c>
      <c r="M12" s="299">
        <f t="shared" si="0"/>
        <v>2043</v>
      </c>
      <c r="N12" s="5"/>
      <c r="O12" s="5" t="s">
        <v>258</v>
      </c>
      <c r="P12" s="5" t="s">
        <v>257</v>
      </c>
      <c r="Q12" s="115"/>
      <c r="R12" s="115"/>
      <c r="S12" s="115"/>
    </row>
    <row r="13" spans="1:31" ht="15" customHeight="1" x14ac:dyDescent="0.3">
      <c r="A13" s="254">
        <v>2023</v>
      </c>
      <c r="B13" s="281">
        <v>0</v>
      </c>
      <c r="C13" s="423">
        <v>0</v>
      </c>
      <c r="D13" s="424">
        <f>$D$25*C13</f>
        <v>0</v>
      </c>
      <c r="E13" s="119"/>
      <c r="G13" s="84" t="s">
        <v>71</v>
      </c>
      <c r="H13" s="333">
        <f>I39*P20</f>
        <v>889.66666666666663</v>
      </c>
      <c r="I13" s="398">
        <f>I40*P20</f>
        <v>1099</v>
      </c>
      <c r="J13" s="406">
        <f>I40*L40</f>
        <v>1190</v>
      </c>
      <c r="K13" s="402">
        <f>$H$24*H13</f>
        <v>324728.33333333331</v>
      </c>
      <c r="L13" s="334">
        <f t="shared" ref="L13:L16" si="1">$H$24*I13</f>
        <v>401135</v>
      </c>
      <c r="M13" s="335">
        <f t="shared" ref="M13:M16" si="2">$H$24*J13</f>
        <v>434350</v>
      </c>
      <c r="N13" s="136"/>
      <c r="O13" s="5">
        <v>2023</v>
      </c>
      <c r="P13" s="5">
        <v>1500</v>
      </c>
    </row>
    <row r="14" spans="1:31" ht="15" customHeight="1" x14ac:dyDescent="0.3">
      <c r="A14" s="256">
        <f>1+A13:A13</f>
        <v>2024</v>
      </c>
      <c r="B14" s="260">
        <f>B13+1</f>
        <v>1</v>
      </c>
      <c r="C14" s="316">
        <v>0</v>
      </c>
      <c r="D14" s="263">
        <f>$D$25*C14</f>
        <v>0</v>
      </c>
      <c r="E14" s="119"/>
      <c r="G14" s="295" t="s">
        <v>72</v>
      </c>
      <c r="H14" s="407">
        <f>K39</f>
        <v>41134</v>
      </c>
      <c r="I14" s="319">
        <f>K40</f>
        <v>48513</v>
      </c>
      <c r="J14" s="408">
        <f>M40</f>
        <v>52530</v>
      </c>
      <c r="K14" s="403">
        <f t="shared" ref="K14:K16" si="3">$H$24*H14</f>
        <v>15013910</v>
      </c>
      <c r="L14" s="318">
        <f t="shared" si="1"/>
        <v>17707245</v>
      </c>
      <c r="M14" s="399">
        <f t="shared" si="2"/>
        <v>19173450</v>
      </c>
      <c r="N14" s="136"/>
      <c r="O14" s="5">
        <v>2024</v>
      </c>
      <c r="P14" s="5">
        <f>P13+10</f>
        <v>1510</v>
      </c>
    </row>
    <row r="15" spans="1:31" ht="15" customHeight="1" x14ac:dyDescent="0.3">
      <c r="A15" s="256">
        <f t="shared" ref="A15:A45" si="4">1+A14:A14</f>
        <v>2025</v>
      </c>
      <c r="B15" s="260">
        <f t="shared" ref="B15:B45" si="5">B14+1</f>
        <v>2</v>
      </c>
      <c r="C15" s="316">
        <v>0</v>
      </c>
      <c r="D15" s="263">
        <f>$D$25*C15</f>
        <v>0</v>
      </c>
      <c r="E15" s="119"/>
      <c r="G15" s="93" t="s">
        <v>166</v>
      </c>
      <c r="H15" s="409">
        <v>0</v>
      </c>
      <c r="I15" s="320">
        <f>I13-H13</f>
        <v>209.33333333333337</v>
      </c>
      <c r="J15" s="415">
        <f>N40-N39</f>
        <v>226.66666666666674</v>
      </c>
      <c r="K15" s="404">
        <f t="shared" si="3"/>
        <v>0</v>
      </c>
      <c r="L15" s="320">
        <f>$H$24*I15</f>
        <v>76406.666666666686</v>
      </c>
      <c r="M15" s="415">
        <f>$H$24*J15</f>
        <v>82733.333333333358</v>
      </c>
      <c r="N15" s="136"/>
      <c r="O15" s="5">
        <v>2025</v>
      </c>
      <c r="P15" s="5">
        <f t="shared" ref="P15:P45" si="6">P14+10</f>
        <v>1520</v>
      </c>
    </row>
    <row r="16" spans="1:31" ht="15" customHeight="1" thickBot="1" x14ac:dyDescent="0.35">
      <c r="A16" s="256">
        <f t="shared" si="4"/>
        <v>2026</v>
      </c>
      <c r="B16" s="260">
        <f t="shared" si="5"/>
        <v>3</v>
      </c>
      <c r="C16" s="316">
        <v>0</v>
      </c>
      <c r="D16" s="263">
        <f>$D$25*C16</f>
        <v>0</v>
      </c>
      <c r="E16" s="119"/>
      <c r="G16" s="98" t="s">
        <v>167</v>
      </c>
      <c r="H16" s="410">
        <v>0</v>
      </c>
      <c r="I16" s="400">
        <f>I14-H14</f>
        <v>7379</v>
      </c>
      <c r="J16" s="401">
        <f>M40-M39</f>
        <v>7990</v>
      </c>
      <c r="K16" s="405">
        <f t="shared" si="3"/>
        <v>0</v>
      </c>
      <c r="L16" s="400">
        <f t="shared" si="1"/>
        <v>2693335</v>
      </c>
      <c r="M16" s="401">
        <f t="shared" si="2"/>
        <v>2916350</v>
      </c>
      <c r="N16" s="136"/>
      <c r="O16" s="5">
        <v>2026</v>
      </c>
      <c r="P16" s="5">
        <f t="shared" si="6"/>
        <v>1530</v>
      </c>
    </row>
    <row r="17" spans="1:21" ht="15" customHeight="1" x14ac:dyDescent="0.3">
      <c r="A17" s="256">
        <f>1+A16:A16</f>
        <v>2027</v>
      </c>
      <c r="B17" s="260">
        <f t="shared" si="5"/>
        <v>4</v>
      </c>
      <c r="C17" s="316">
        <v>0</v>
      </c>
      <c r="D17" s="263">
        <f>$D$25*C17</f>
        <v>0</v>
      </c>
      <c r="E17" s="119"/>
      <c r="K17" s="285"/>
      <c r="L17" s="284"/>
      <c r="M17" s="284"/>
      <c r="N17" s="136"/>
      <c r="O17" s="5">
        <v>2027</v>
      </c>
      <c r="P17" s="5">
        <f t="shared" si="6"/>
        <v>1540</v>
      </c>
    </row>
    <row r="18" spans="1:21" ht="15" customHeight="1" x14ac:dyDescent="0.3">
      <c r="A18" s="256">
        <f t="shared" si="4"/>
        <v>2028</v>
      </c>
      <c r="B18" s="260">
        <f t="shared" si="5"/>
        <v>5</v>
      </c>
      <c r="C18" s="316">
        <v>0</v>
      </c>
      <c r="D18" s="263">
        <v>0</v>
      </c>
      <c r="K18" s="285"/>
      <c r="L18" s="284"/>
      <c r="M18" s="284"/>
      <c r="N18" s="136"/>
      <c r="O18" s="5">
        <v>2028</v>
      </c>
      <c r="P18" s="5">
        <f t="shared" si="6"/>
        <v>1550</v>
      </c>
      <c r="Q18" s="2"/>
      <c r="R18" s="2"/>
      <c r="S18" s="2"/>
    </row>
    <row r="19" spans="1:21" ht="15" customHeight="1" x14ac:dyDescent="0.3">
      <c r="A19" s="256">
        <f t="shared" si="4"/>
        <v>2029</v>
      </c>
      <c r="B19" s="260">
        <f t="shared" si="5"/>
        <v>6</v>
      </c>
      <c r="C19" s="316">
        <v>0</v>
      </c>
      <c r="D19" s="263">
        <v>0</v>
      </c>
      <c r="I19" s="167"/>
      <c r="J19" s="134"/>
      <c r="K19" s="286"/>
      <c r="L19" s="284"/>
      <c r="M19" s="284"/>
      <c r="N19" s="136"/>
      <c r="O19" s="5">
        <v>2029</v>
      </c>
      <c r="P19" s="5">
        <f t="shared" si="6"/>
        <v>1560</v>
      </c>
      <c r="Q19" s="2"/>
      <c r="R19" s="2"/>
      <c r="S19" s="2"/>
    </row>
    <row r="20" spans="1:21" ht="15" customHeight="1" x14ac:dyDescent="0.3">
      <c r="A20" s="256">
        <f t="shared" si="4"/>
        <v>2030</v>
      </c>
      <c r="B20" s="260">
        <f t="shared" si="5"/>
        <v>7</v>
      </c>
      <c r="C20" s="316">
        <f>(I$40-I$39)*H$24*P20</f>
        <v>76406.666666666657</v>
      </c>
      <c r="D20" s="263">
        <f>C20*'Travel Times Savings'!E$53</f>
        <v>2398534.8650568398</v>
      </c>
      <c r="E20" s="542" t="s">
        <v>171</v>
      </c>
      <c r="G20" t="s">
        <v>241</v>
      </c>
      <c r="I20" s="134"/>
      <c r="J20" s="134"/>
      <c r="K20" s="286"/>
      <c r="L20" s="284"/>
      <c r="M20" s="284"/>
      <c r="N20" s="136"/>
      <c r="O20" s="5">
        <v>2030</v>
      </c>
      <c r="P20" s="5">
        <f t="shared" si="6"/>
        <v>1570</v>
      </c>
      <c r="Q20" s="2"/>
      <c r="R20" s="2"/>
      <c r="S20" s="2"/>
    </row>
    <row r="21" spans="1:21" ht="15" customHeight="1" x14ac:dyDescent="0.3">
      <c r="A21" s="256">
        <f t="shared" si="4"/>
        <v>2031</v>
      </c>
      <c r="B21" s="260">
        <f t="shared" si="5"/>
        <v>8</v>
      </c>
      <c r="C21" s="316">
        <f t="shared" ref="C21:C45" si="7">(I$40-I$39)*H$24*P21</f>
        <v>76893.333333333314</v>
      </c>
      <c r="D21" s="263">
        <f>C21*'Travel Times Savings'!E$53</f>
        <v>2413812.1571909594</v>
      </c>
      <c r="E21" s="542"/>
      <c r="F21" s="160"/>
      <c r="G21" s="25"/>
      <c r="H21" s="134"/>
      <c r="I21" s="5"/>
      <c r="J21" s="79"/>
      <c r="K21" s="134"/>
      <c r="L21" s="135"/>
      <c r="M21" s="135"/>
      <c r="N21" s="136"/>
      <c r="O21" s="5">
        <v>2031</v>
      </c>
      <c r="P21" s="5">
        <f t="shared" si="6"/>
        <v>1580</v>
      </c>
      <c r="Q21" s="2"/>
      <c r="R21" s="2"/>
      <c r="S21" s="2"/>
    </row>
    <row r="22" spans="1:21" ht="15" customHeight="1" x14ac:dyDescent="0.3">
      <c r="A22" s="256">
        <f t="shared" si="4"/>
        <v>2032</v>
      </c>
      <c r="B22" s="260">
        <f t="shared" si="5"/>
        <v>9</v>
      </c>
      <c r="C22" s="316">
        <f t="shared" si="7"/>
        <v>77379.999999999985</v>
      </c>
      <c r="D22" s="263">
        <f>C22*'Travel Times Savings'!E$53</f>
        <v>2429089.4493250796</v>
      </c>
      <c r="E22" s="542"/>
      <c r="F22" s="160"/>
      <c r="G22" s="25"/>
      <c r="H22" s="134"/>
      <c r="I22" s="30"/>
      <c r="J22" s="290"/>
      <c r="K22" s="134"/>
      <c r="L22" s="135"/>
      <c r="M22" s="135"/>
      <c r="N22" s="136"/>
      <c r="O22" s="5">
        <v>2032</v>
      </c>
      <c r="P22" s="5">
        <f t="shared" si="6"/>
        <v>1590</v>
      </c>
      <c r="Q22" s="2"/>
      <c r="R22" s="564"/>
      <c r="S22" s="564"/>
      <c r="T22" s="564"/>
      <c r="U22" s="564"/>
    </row>
    <row r="23" spans="1:21" ht="15" customHeight="1" x14ac:dyDescent="0.3">
      <c r="A23" s="256">
        <f t="shared" si="4"/>
        <v>2033</v>
      </c>
      <c r="B23" s="260">
        <f t="shared" si="5"/>
        <v>10</v>
      </c>
      <c r="C23" s="316">
        <f t="shared" si="7"/>
        <v>77866.666666666657</v>
      </c>
      <c r="D23" s="263">
        <f>C23*'Travel Times Savings'!E$53</f>
        <v>2444366.7414591997</v>
      </c>
      <c r="E23" s="542"/>
      <c r="F23" s="160"/>
      <c r="H23" s="166"/>
      <c r="I23" s="166"/>
      <c r="J23" s="134"/>
      <c r="K23" s="167"/>
      <c r="L23" s="134"/>
      <c r="M23" s="167"/>
      <c r="N23" s="134"/>
      <c r="O23" s="5">
        <v>2033</v>
      </c>
      <c r="P23" s="5">
        <f t="shared" si="6"/>
        <v>1600</v>
      </c>
      <c r="Q23" s="2"/>
      <c r="R23" s="344"/>
      <c r="S23" s="344"/>
      <c r="T23" s="344"/>
      <c r="U23" s="344"/>
    </row>
    <row r="24" spans="1:21" ht="15" customHeight="1" x14ac:dyDescent="0.3">
      <c r="A24" s="256">
        <f t="shared" si="4"/>
        <v>2034</v>
      </c>
      <c r="B24" s="260">
        <f t="shared" si="5"/>
        <v>11</v>
      </c>
      <c r="C24" s="316">
        <f t="shared" si="7"/>
        <v>78353.333333333314</v>
      </c>
      <c r="D24" s="263">
        <f>C24*'Travel Times Savings'!E$53</f>
        <v>2459644.0335933198</v>
      </c>
      <c r="E24" s="542"/>
      <c r="F24" s="160"/>
      <c r="G24" s="25" t="s">
        <v>259</v>
      </c>
      <c r="H24">
        <v>365</v>
      </c>
      <c r="K24" s="134"/>
      <c r="L24" s="135"/>
      <c r="M24" s="135"/>
      <c r="N24" s="136"/>
      <c r="O24" s="5">
        <v>2034</v>
      </c>
      <c r="P24" s="5">
        <f t="shared" si="6"/>
        <v>1610</v>
      </c>
      <c r="Q24" s="2"/>
      <c r="R24" s="344"/>
      <c r="S24" s="344"/>
      <c r="T24" s="344"/>
      <c r="U24" s="344"/>
    </row>
    <row r="25" spans="1:21" ht="15" customHeight="1" x14ac:dyDescent="0.3">
      <c r="A25" s="256">
        <f t="shared" si="4"/>
        <v>2035</v>
      </c>
      <c r="B25" s="260">
        <f t="shared" si="5"/>
        <v>12</v>
      </c>
      <c r="C25" s="316">
        <f t="shared" si="7"/>
        <v>78839.999999999985</v>
      </c>
      <c r="D25" s="263">
        <f>C25*'Travel Times Savings'!E$53</f>
        <v>2474921.32572744</v>
      </c>
      <c r="E25" s="542"/>
      <c r="F25" s="160"/>
      <c r="G25" s="25"/>
      <c r="H25" s="134"/>
      <c r="K25" s="134"/>
      <c r="L25" s="135"/>
      <c r="M25" s="135"/>
      <c r="N25" s="136"/>
      <c r="O25" s="5">
        <v>2035</v>
      </c>
      <c r="P25" s="5">
        <f t="shared" si="6"/>
        <v>1620</v>
      </c>
      <c r="Q25" s="2"/>
      <c r="R25" s="344"/>
      <c r="S25" s="344"/>
      <c r="T25" s="344"/>
      <c r="U25" s="344"/>
    </row>
    <row r="26" spans="1:21" ht="15" customHeight="1" x14ac:dyDescent="0.3">
      <c r="A26" s="256">
        <f t="shared" si="4"/>
        <v>2036</v>
      </c>
      <c r="B26" s="260">
        <f t="shared" si="5"/>
        <v>13</v>
      </c>
      <c r="C26" s="316">
        <f t="shared" si="7"/>
        <v>79326.666666666657</v>
      </c>
      <c r="D26" s="263">
        <f>C26*'Travel Times Savings'!E$53</f>
        <v>2490198.6178615601</v>
      </c>
      <c r="E26" s="542"/>
      <c r="F26" s="116"/>
      <c r="G26" s="116"/>
      <c r="H26" s="116"/>
      <c r="O26" s="5">
        <v>2036</v>
      </c>
      <c r="P26" s="5">
        <f t="shared" si="6"/>
        <v>1630</v>
      </c>
      <c r="Q26" s="116"/>
      <c r="R26" s="344"/>
      <c r="S26" s="344"/>
      <c r="T26" s="344"/>
      <c r="U26" s="344"/>
    </row>
    <row r="27" spans="1:21" ht="15" customHeight="1" x14ac:dyDescent="0.3">
      <c r="A27" s="256">
        <f t="shared" si="4"/>
        <v>2037</v>
      </c>
      <c r="B27" s="260">
        <f t="shared" si="5"/>
        <v>14</v>
      </c>
      <c r="C27" s="316">
        <f t="shared" si="7"/>
        <v>79813.333333333314</v>
      </c>
      <c r="D27" s="263">
        <f>C27*'Travel Times Savings'!E$53</f>
        <v>2505475.9099956797</v>
      </c>
      <c r="E27" s="542"/>
      <c r="F27" s="116"/>
      <c r="G27" s="116"/>
      <c r="H27" s="116"/>
      <c r="O27" s="5">
        <v>2037</v>
      </c>
      <c r="P27" s="5">
        <f t="shared" si="6"/>
        <v>1640</v>
      </c>
      <c r="Q27" s="116"/>
      <c r="R27" s="344"/>
      <c r="S27" s="344"/>
      <c r="T27" s="344"/>
      <c r="U27" s="344"/>
    </row>
    <row r="28" spans="1:21" ht="15" customHeight="1" x14ac:dyDescent="0.3">
      <c r="A28" s="256">
        <f t="shared" si="4"/>
        <v>2038</v>
      </c>
      <c r="B28" s="260">
        <f t="shared" si="5"/>
        <v>15</v>
      </c>
      <c r="C28" s="316">
        <f t="shared" si="7"/>
        <v>80299.999999999985</v>
      </c>
      <c r="D28" s="263">
        <f>C28*'Travel Times Savings'!E$53</f>
        <v>2520753.2021297999</v>
      </c>
      <c r="E28" s="542"/>
      <c r="F28" s="116"/>
      <c r="G28" s="116"/>
      <c r="H28" s="116"/>
      <c r="I28" s="5"/>
      <c r="J28" s="79"/>
      <c r="O28" s="5">
        <v>2038</v>
      </c>
      <c r="P28" s="5">
        <f t="shared" si="6"/>
        <v>1650</v>
      </c>
      <c r="Q28" s="116"/>
      <c r="R28" s="116"/>
      <c r="S28" s="116"/>
    </row>
    <row r="29" spans="1:21" ht="15" customHeight="1" x14ac:dyDescent="0.3">
      <c r="A29" s="256">
        <f t="shared" si="4"/>
        <v>2039</v>
      </c>
      <c r="B29" s="260">
        <f t="shared" si="5"/>
        <v>16</v>
      </c>
      <c r="C29" s="316">
        <f t="shared" si="7"/>
        <v>80786.666666666657</v>
      </c>
      <c r="D29" s="263">
        <f>C29*'Travel Times Savings'!E$53</f>
        <v>2536030.49426392</v>
      </c>
      <c r="E29" s="542"/>
      <c r="F29" s="116"/>
      <c r="G29" s="116"/>
      <c r="H29" s="116"/>
      <c r="I29" s="5"/>
      <c r="J29" s="79"/>
      <c r="M29" s="289"/>
      <c r="O29" s="5">
        <v>2039</v>
      </c>
      <c r="P29" s="5">
        <f t="shared" si="6"/>
        <v>1660</v>
      </c>
      <c r="Q29" s="116"/>
      <c r="R29" s="116"/>
      <c r="S29" s="116"/>
    </row>
    <row r="30" spans="1:21" ht="15" customHeight="1" x14ac:dyDescent="0.3">
      <c r="A30" s="256">
        <f t="shared" si="4"/>
        <v>2040</v>
      </c>
      <c r="B30" s="260">
        <f t="shared" si="5"/>
        <v>17</v>
      </c>
      <c r="C30" s="316">
        <f t="shared" si="7"/>
        <v>81273.333333333314</v>
      </c>
      <c r="D30" s="263">
        <f>C30*'Travel Times Savings'!E$53</f>
        <v>2551307.7863980397</v>
      </c>
      <c r="E30" s="542"/>
      <c r="F30" s="116"/>
      <c r="G30" s="116"/>
      <c r="H30" s="116"/>
      <c r="I30" s="167"/>
      <c r="J30" s="79"/>
      <c r="O30" s="5">
        <v>2040</v>
      </c>
      <c r="P30" s="5">
        <f t="shared" si="6"/>
        <v>1670</v>
      </c>
      <c r="Q30" s="116"/>
      <c r="R30" s="116"/>
      <c r="S30" s="116"/>
    </row>
    <row r="31" spans="1:21" ht="15" customHeight="1" x14ac:dyDescent="0.3">
      <c r="A31" s="256">
        <f t="shared" si="4"/>
        <v>2041</v>
      </c>
      <c r="B31" s="260">
        <f t="shared" si="5"/>
        <v>18</v>
      </c>
      <c r="C31" s="316">
        <f t="shared" si="7"/>
        <v>81759.999999999985</v>
      </c>
      <c r="D31" s="263">
        <f>C31*'Travel Times Savings'!E$53</f>
        <v>2566585.0785321598</v>
      </c>
      <c r="E31" s="542"/>
      <c r="F31" s="116"/>
      <c r="G31" s="116"/>
      <c r="H31" s="116"/>
      <c r="I31" s="5"/>
      <c r="J31" s="79"/>
      <c r="O31" s="5">
        <v>2041</v>
      </c>
      <c r="P31" s="5">
        <f t="shared" si="6"/>
        <v>1680</v>
      </c>
      <c r="Q31" s="116"/>
      <c r="R31" s="116"/>
      <c r="S31" s="116"/>
    </row>
    <row r="32" spans="1:21" ht="15" customHeight="1" x14ac:dyDescent="0.3">
      <c r="A32" s="256">
        <f t="shared" si="4"/>
        <v>2042</v>
      </c>
      <c r="B32" s="260">
        <f t="shared" si="5"/>
        <v>19</v>
      </c>
      <c r="C32" s="316">
        <f t="shared" si="7"/>
        <v>82246.666666666657</v>
      </c>
      <c r="D32" s="263">
        <f>C32*'Travel Times Savings'!E$53</f>
        <v>2581862.3706662799</v>
      </c>
      <c r="E32" s="542"/>
      <c r="F32" s="117"/>
      <c r="H32" s="117"/>
      <c r="I32" s="117"/>
      <c r="J32" s="117"/>
      <c r="K32" s="117"/>
      <c r="L32" s="117"/>
      <c r="M32" s="117"/>
      <c r="N32" s="117"/>
      <c r="O32" s="5">
        <v>2042</v>
      </c>
      <c r="P32" s="5">
        <f t="shared" si="6"/>
        <v>1690</v>
      </c>
      <c r="Q32" s="117"/>
      <c r="R32" s="117"/>
      <c r="S32" s="117"/>
    </row>
    <row r="33" spans="1:25" ht="15" customHeight="1" x14ac:dyDescent="0.3">
      <c r="A33" s="256">
        <f t="shared" si="4"/>
        <v>2043</v>
      </c>
      <c r="B33" s="260">
        <f t="shared" si="5"/>
        <v>20</v>
      </c>
      <c r="C33" s="316">
        <f t="shared" si="7"/>
        <v>82733.333333333314</v>
      </c>
      <c r="D33" s="263">
        <f>C33*'Travel Times Savings'!E$53</f>
        <v>2597139.6628003996</v>
      </c>
      <c r="E33" s="542"/>
      <c r="F33" s="117"/>
      <c r="L33" s="117"/>
      <c r="M33" s="117"/>
      <c r="N33" s="117"/>
      <c r="O33" s="5">
        <v>2043</v>
      </c>
      <c r="P33" s="5">
        <f t="shared" si="6"/>
        <v>1700</v>
      </c>
      <c r="Q33" s="117"/>
      <c r="R33" s="117"/>
      <c r="S33" s="117"/>
    </row>
    <row r="34" spans="1:25" ht="15" customHeight="1" x14ac:dyDescent="0.3">
      <c r="A34" s="256">
        <f t="shared" si="4"/>
        <v>2044</v>
      </c>
      <c r="B34" s="260">
        <f t="shared" si="5"/>
        <v>21</v>
      </c>
      <c r="C34" s="316">
        <f t="shared" si="7"/>
        <v>83219.999999999985</v>
      </c>
      <c r="D34" s="263">
        <f>C34*'Travel Times Savings'!E$53</f>
        <v>2612416.9549345197</v>
      </c>
      <c r="E34" s="542"/>
      <c r="F34" s="117"/>
      <c r="L34" s="117"/>
      <c r="M34" s="117"/>
      <c r="N34" s="117"/>
      <c r="O34" s="5">
        <v>2044</v>
      </c>
      <c r="P34" s="5">
        <f t="shared" si="6"/>
        <v>1710</v>
      </c>
      <c r="Q34" s="117"/>
      <c r="R34" s="117"/>
      <c r="S34" s="117"/>
    </row>
    <row r="35" spans="1:25" ht="15" customHeight="1" x14ac:dyDescent="0.3">
      <c r="A35" s="256">
        <f t="shared" si="4"/>
        <v>2045</v>
      </c>
      <c r="B35" s="260">
        <f t="shared" si="5"/>
        <v>22</v>
      </c>
      <c r="C35" s="316">
        <f t="shared" si="7"/>
        <v>83706.666666666657</v>
      </c>
      <c r="D35" s="263">
        <f>C35*'Travel Times Savings'!E$53</f>
        <v>2627694.2470686398</v>
      </c>
      <c r="E35" s="542"/>
      <c r="F35" s="117"/>
      <c r="L35" s="117"/>
      <c r="M35" s="117"/>
      <c r="N35" s="117"/>
      <c r="O35" s="5">
        <v>2045</v>
      </c>
      <c r="P35" s="5">
        <f t="shared" si="6"/>
        <v>1720</v>
      </c>
      <c r="Q35" s="117"/>
      <c r="R35" s="117"/>
      <c r="S35" s="117"/>
    </row>
    <row r="36" spans="1:25" ht="15" customHeight="1" x14ac:dyDescent="0.3">
      <c r="A36" s="256">
        <f t="shared" si="4"/>
        <v>2046</v>
      </c>
      <c r="B36" s="260">
        <f t="shared" si="5"/>
        <v>23</v>
      </c>
      <c r="C36" s="316">
        <f t="shared" si="7"/>
        <v>84193.333333333314</v>
      </c>
      <c r="D36" s="263">
        <f>C36*'Travel Times Savings'!E$53</f>
        <v>2642971.5392027595</v>
      </c>
      <c r="E36" s="542"/>
      <c r="F36" s="117"/>
      <c r="H36" s="117"/>
      <c r="I36" s="117"/>
      <c r="J36" s="117"/>
      <c r="K36" s="117"/>
      <c r="L36" s="117"/>
      <c r="M36" s="117"/>
      <c r="N36" s="117"/>
      <c r="O36" s="5">
        <v>2046</v>
      </c>
      <c r="P36" s="5">
        <f t="shared" si="6"/>
        <v>1730</v>
      </c>
      <c r="Q36" s="117"/>
      <c r="R36" s="117"/>
      <c r="S36" s="117"/>
    </row>
    <row r="37" spans="1:25" ht="15" customHeight="1" x14ac:dyDescent="0.3">
      <c r="A37" s="256">
        <f t="shared" si="4"/>
        <v>2047</v>
      </c>
      <c r="B37" s="260">
        <f t="shared" si="5"/>
        <v>24</v>
      </c>
      <c r="C37" s="316">
        <f t="shared" si="7"/>
        <v>84679.999999999985</v>
      </c>
      <c r="D37" s="263">
        <f>C37*'Travel Times Savings'!E$53</f>
        <v>2658248.8313368796</v>
      </c>
      <c r="E37" s="542"/>
      <c r="F37" s="117"/>
      <c r="H37" s="117"/>
      <c r="I37" s="117"/>
      <c r="J37" s="117"/>
      <c r="K37" s="117"/>
      <c r="L37" s="117"/>
      <c r="M37" s="117"/>
      <c r="N37" s="117"/>
      <c r="O37" s="5">
        <v>2047</v>
      </c>
      <c r="P37" s="5">
        <f t="shared" si="6"/>
        <v>1740</v>
      </c>
      <c r="Q37" s="117"/>
      <c r="R37" s="117"/>
      <c r="S37" s="117"/>
    </row>
    <row r="38" spans="1:25" ht="15" customHeight="1" x14ac:dyDescent="0.3">
      <c r="A38" s="256">
        <f t="shared" si="4"/>
        <v>2048</v>
      </c>
      <c r="B38" s="260">
        <f t="shared" si="5"/>
        <v>25</v>
      </c>
      <c r="C38" s="316">
        <f t="shared" si="7"/>
        <v>85166.666666666657</v>
      </c>
      <c r="D38" s="263">
        <f>C38*'Travel Times Savings'!E$53</f>
        <v>2673526.1234709998</v>
      </c>
      <c r="E38" s="542"/>
      <c r="G38" s="5" t="s">
        <v>224</v>
      </c>
      <c r="H38" s="5" t="s">
        <v>226</v>
      </c>
      <c r="I38" s="5" t="s">
        <v>242</v>
      </c>
      <c r="J38" s="117" t="s">
        <v>243</v>
      </c>
      <c r="K38" s="5" t="s">
        <v>260</v>
      </c>
      <c r="L38" s="117" t="s">
        <v>245</v>
      </c>
      <c r="M38" s="5" t="s">
        <v>246</v>
      </c>
      <c r="N38" s="117" t="s">
        <v>247</v>
      </c>
      <c r="O38" s="5">
        <v>2048</v>
      </c>
      <c r="P38" s="5">
        <f t="shared" si="6"/>
        <v>1750</v>
      </c>
      <c r="Q38" s="117"/>
      <c r="R38" s="117"/>
      <c r="S38" s="117"/>
    </row>
    <row r="39" spans="1:25" ht="15" customHeight="1" x14ac:dyDescent="0.3">
      <c r="A39" s="256">
        <f t="shared" si="4"/>
        <v>2049</v>
      </c>
      <c r="B39" s="260">
        <f t="shared" si="5"/>
        <v>26</v>
      </c>
      <c r="C39" s="316">
        <f t="shared" si="7"/>
        <v>85653.333333333314</v>
      </c>
      <c r="D39" s="263">
        <f>C39*'Travel Times Savings'!E$53</f>
        <v>2688803.4156051194</v>
      </c>
      <c r="E39" s="542"/>
      <c r="F39" s="389" t="s">
        <v>223</v>
      </c>
      <c r="G39" s="78">
        <v>26.2</v>
      </c>
      <c r="H39" s="78">
        <v>34</v>
      </c>
      <c r="I39" s="78">
        <f>H39/60</f>
        <v>0.56666666666666665</v>
      </c>
      <c r="J39" s="284">
        <v>1500</v>
      </c>
      <c r="K39" s="284">
        <f>G39*P20</f>
        <v>41134</v>
      </c>
      <c r="L39" s="284">
        <v>1700</v>
      </c>
      <c r="M39" s="284">
        <f>L39*G39</f>
        <v>44540</v>
      </c>
      <c r="N39" s="135">
        <f>L39*I39</f>
        <v>963.33333333333326</v>
      </c>
      <c r="O39" s="5">
        <v>2049</v>
      </c>
      <c r="P39" s="5">
        <f t="shared" si="6"/>
        <v>1760</v>
      </c>
      <c r="Q39" s="117"/>
      <c r="R39" s="117"/>
      <c r="S39" s="117"/>
    </row>
    <row r="40" spans="1:25" ht="15" customHeight="1" x14ac:dyDescent="0.3">
      <c r="A40" s="256">
        <f t="shared" si="4"/>
        <v>2050</v>
      </c>
      <c r="B40" s="260">
        <f t="shared" si="5"/>
        <v>27</v>
      </c>
      <c r="C40" s="316">
        <f t="shared" si="7"/>
        <v>86139.999999999985</v>
      </c>
      <c r="D40" s="263">
        <f>C40*'Travel Times Savings'!E$53</f>
        <v>2704080.7077392396</v>
      </c>
      <c r="E40" s="542"/>
      <c r="F40" s="389" t="s">
        <v>225</v>
      </c>
      <c r="G40" s="78">
        <v>30.9</v>
      </c>
      <c r="H40" s="78">
        <v>42</v>
      </c>
      <c r="I40" s="78">
        <f>H40/60</f>
        <v>0.7</v>
      </c>
      <c r="J40" s="284">
        <v>1500</v>
      </c>
      <c r="K40" s="284">
        <f>G40*P20</f>
        <v>48513</v>
      </c>
      <c r="L40" s="284">
        <v>1700</v>
      </c>
      <c r="M40" s="284">
        <f>L40*G40</f>
        <v>52530</v>
      </c>
      <c r="N40" s="135">
        <f>L40*I40</f>
        <v>1190</v>
      </c>
      <c r="O40" s="5">
        <v>2050</v>
      </c>
      <c r="P40" s="5">
        <f t="shared" si="6"/>
        <v>1770</v>
      </c>
      <c r="Q40" s="117"/>
      <c r="R40" s="117"/>
      <c r="S40" s="117"/>
    </row>
    <row r="41" spans="1:25" ht="15" customHeight="1" x14ac:dyDescent="0.3">
      <c r="A41" s="256">
        <f t="shared" si="4"/>
        <v>2051</v>
      </c>
      <c r="B41" s="260">
        <f t="shared" si="5"/>
        <v>28</v>
      </c>
      <c r="C41" s="316">
        <f t="shared" si="7"/>
        <v>86626.666666666657</v>
      </c>
      <c r="D41" s="263">
        <f>C41*'Travel Times Savings'!E$53</f>
        <v>2719357.9998733602</v>
      </c>
      <c r="E41" s="542"/>
      <c r="F41" s="117"/>
      <c r="G41" s="117"/>
      <c r="H41" s="117"/>
      <c r="I41" s="117"/>
      <c r="J41" s="117"/>
      <c r="K41" s="117"/>
      <c r="L41" s="117"/>
      <c r="M41" s="117"/>
      <c r="N41" s="117"/>
      <c r="O41" s="5">
        <v>2051</v>
      </c>
      <c r="P41" s="5">
        <f t="shared" si="6"/>
        <v>1780</v>
      </c>
      <c r="Q41" s="117"/>
      <c r="R41" s="117"/>
      <c r="S41" s="117"/>
    </row>
    <row r="42" spans="1:25" ht="15" customHeight="1" x14ac:dyDescent="0.3">
      <c r="A42" s="256">
        <f t="shared" si="4"/>
        <v>2052</v>
      </c>
      <c r="B42" s="260">
        <f t="shared" si="5"/>
        <v>29</v>
      </c>
      <c r="C42" s="316">
        <f t="shared" si="7"/>
        <v>87113.333333333314</v>
      </c>
      <c r="D42" s="263">
        <f>C42*'Travel Times Savings'!E$53</f>
        <v>2734635.2920074798</v>
      </c>
      <c r="E42" s="542"/>
      <c r="F42" s="117"/>
      <c r="G42" s="117"/>
      <c r="H42" s="117"/>
      <c r="I42" s="117"/>
      <c r="J42" s="117"/>
      <c r="K42" s="117"/>
      <c r="L42" s="117"/>
      <c r="M42" s="117"/>
      <c r="N42" s="117"/>
      <c r="O42" s="5">
        <v>2052</v>
      </c>
      <c r="P42" s="5">
        <f t="shared" si="6"/>
        <v>1790</v>
      </c>
      <c r="Q42" s="117"/>
      <c r="R42" s="117"/>
      <c r="S42" s="117"/>
    </row>
    <row r="43" spans="1:25" ht="15" customHeight="1" x14ac:dyDescent="0.3">
      <c r="A43" s="256">
        <f t="shared" si="4"/>
        <v>2053</v>
      </c>
      <c r="B43" s="260">
        <f t="shared" si="5"/>
        <v>30</v>
      </c>
      <c r="C43" s="316">
        <f t="shared" si="7"/>
        <v>87599.999999999985</v>
      </c>
      <c r="D43" s="263">
        <f>C43*'Travel Times Savings'!E$53</f>
        <v>2749912.5841415999</v>
      </c>
      <c r="E43" s="542"/>
      <c r="F43" s="117"/>
      <c r="G43" s="117"/>
      <c r="H43" s="117"/>
      <c r="I43" s="117"/>
      <c r="J43" s="117"/>
      <c r="K43" s="117"/>
      <c r="L43" s="117"/>
      <c r="M43" s="117"/>
      <c r="N43" s="117"/>
      <c r="O43" s="5">
        <v>2053</v>
      </c>
      <c r="P43" s="5">
        <f t="shared" si="6"/>
        <v>1800</v>
      </c>
      <c r="Q43" s="117"/>
      <c r="R43" s="117"/>
      <c r="S43" s="117"/>
    </row>
    <row r="44" spans="1:25" ht="15" customHeight="1" x14ac:dyDescent="0.3">
      <c r="A44" s="256">
        <f t="shared" si="4"/>
        <v>2054</v>
      </c>
      <c r="B44" s="260">
        <f t="shared" si="5"/>
        <v>31</v>
      </c>
      <c r="C44" s="316">
        <f t="shared" si="7"/>
        <v>88086.666666666642</v>
      </c>
      <c r="D44" s="263">
        <f>C44*'Travel Times Savings'!E$53</f>
        <v>2765189.8762757196</v>
      </c>
      <c r="E44" s="542"/>
      <c r="F44" s="117"/>
      <c r="G44" s="117"/>
      <c r="H44" s="117"/>
      <c r="I44" s="117"/>
      <c r="J44" s="117"/>
      <c r="K44" s="117"/>
      <c r="L44" s="117"/>
      <c r="M44" s="117"/>
      <c r="N44" s="117"/>
      <c r="O44" s="5">
        <v>2054</v>
      </c>
      <c r="P44" s="5">
        <f t="shared" si="6"/>
        <v>1810</v>
      </c>
      <c r="Q44" s="117"/>
      <c r="R44" s="117"/>
      <c r="S44" s="117"/>
    </row>
    <row r="45" spans="1:25" ht="15" customHeight="1" thickBot="1" x14ac:dyDescent="0.35">
      <c r="A45" s="356">
        <f t="shared" si="4"/>
        <v>2055</v>
      </c>
      <c r="B45" s="357">
        <f t="shared" si="5"/>
        <v>32</v>
      </c>
      <c r="C45" s="317">
        <f t="shared" si="7"/>
        <v>88573.333333333314</v>
      </c>
      <c r="D45" s="308">
        <f>C45*'Travel Times Savings'!E$53</f>
        <v>2780467.1684098397</v>
      </c>
      <c r="E45" s="542"/>
      <c r="F45" s="117"/>
      <c r="G45" s="117"/>
      <c r="H45" s="117"/>
      <c r="I45" s="117"/>
      <c r="J45" s="117"/>
      <c r="K45" s="117"/>
      <c r="L45" s="117"/>
      <c r="M45" s="117"/>
      <c r="N45" s="117"/>
      <c r="O45" s="5">
        <v>2055</v>
      </c>
      <c r="P45" s="5">
        <f t="shared" si="6"/>
        <v>1820</v>
      </c>
      <c r="Q45" s="117"/>
      <c r="R45" s="117"/>
      <c r="S45" s="117"/>
    </row>
    <row r="46" spans="1:25" ht="15" customHeight="1" thickBot="1" x14ac:dyDescent="0.35">
      <c r="D46" s="112">
        <f>SUM(D13:D45)</f>
        <v>67327026.435066834</v>
      </c>
      <c r="E46" s="328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spans="1:25" ht="15" customHeight="1" x14ac:dyDescent="0.3">
      <c r="E47" s="329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spans="1:25" ht="15" customHeight="1" x14ac:dyDescent="0.3">
      <c r="E48" s="329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56"/>
      <c r="U48" s="56"/>
      <c r="V48" s="56"/>
      <c r="W48" s="56"/>
      <c r="X48" s="56"/>
      <c r="Y48" s="56"/>
    </row>
    <row r="49" spans="5:25" ht="15" customHeight="1" x14ac:dyDescent="0.3">
      <c r="E49" s="329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56"/>
      <c r="U49" s="56"/>
      <c r="V49" s="56"/>
      <c r="W49" s="56"/>
      <c r="X49" s="56"/>
      <c r="Y49" s="56"/>
    </row>
    <row r="50" spans="5:25" ht="15" customHeight="1" x14ac:dyDescent="0.3">
      <c r="E50" s="329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56"/>
      <c r="U50" s="56"/>
      <c r="V50" s="56"/>
      <c r="W50" s="56"/>
      <c r="X50" s="56"/>
      <c r="Y50" s="56"/>
    </row>
    <row r="51" spans="5:25" ht="15" customHeight="1" x14ac:dyDescent="0.3">
      <c r="E51" s="329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5:25" ht="15" customHeight="1" x14ac:dyDescent="0.3">
      <c r="E52" s="329"/>
    </row>
    <row r="53" spans="5:25" ht="15" customHeight="1" x14ac:dyDescent="0.3"/>
    <row r="54" spans="5:25" ht="15" customHeight="1" x14ac:dyDescent="0.3"/>
    <row r="55" spans="5:25" ht="15" customHeight="1" x14ac:dyDescent="0.3"/>
    <row r="70" ht="15" customHeight="1" x14ac:dyDescent="0.3"/>
  </sheetData>
  <mergeCells count="14">
    <mergeCell ref="A2:L2"/>
    <mergeCell ref="N2:P2"/>
    <mergeCell ref="A3:L3"/>
    <mergeCell ref="A4:L4"/>
    <mergeCell ref="A5:L5"/>
    <mergeCell ref="R22:U22"/>
    <mergeCell ref="A10:A12"/>
    <mergeCell ref="B10:B12"/>
    <mergeCell ref="C10:C12"/>
    <mergeCell ref="D10:D12"/>
    <mergeCell ref="H10:J10"/>
    <mergeCell ref="K10:M10"/>
    <mergeCell ref="E20:E45"/>
    <mergeCell ref="N11:O11"/>
  </mergeCells>
  <hyperlinks>
    <hyperlink ref="A4" r:id="rId1" xr:uid="{E9AD5CBF-AE4D-4766-82C9-810F28A85C97}"/>
  </hyperlinks>
  <pageMargins left="0.35" right="0.2" top="0.75" bottom="0.75" header="0.3" footer="0.3"/>
  <pageSetup paperSize="133" scale="58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439B-D614-4ACE-BF56-E739E50EE1EB}">
  <sheetPr>
    <tabColor rgb="FF0070C0"/>
  </sheetPr>
  <dimension ref="B1:Q75"/>
  <sheetViews>
    <sheetView showGridLines="0" tabSelected="1" topLeftCell="B16" zoomScaleNormal="100" workbookViewId="0">
      <selection activeCell="B22" sqref="B22:E27"/>
    </sheetView>
  </sheetViews>
  <sheetFormatPr defaultRowHeight="14.4" x14ac:dyDescent="0.3"/>
  <cols>
    <col min="2" max="2" width="35.44140625" customWidth="1"/>
    <col min="3" max="3" width="17.5546875" customWidth="1"/>
    <col min="4" max="4" width="14.33203125" bestFit="1" customWidth="1"/>
    <col min="5" max="5" width="13.5546875" customWidth="1"/>
    <col min="6" max="6" width="14.33203125" bestFit="1" customWidth="1"/>
    <col min="7" max="7" width="11.44140625" style="5" bestFit="1" customWidth="1"/>
    <col min="8" max="8" width="20.5546875" style="5" bestFit="1" customWidth="1"/>
    <col min="9" max="9" width="27.5546875" style="5" bestFit="1" customWidth="1"/>
    <col min="10" max="10" width="24.44140625" style="5" customWidth="1"/>
    <col min="11" max="11" width="14.33203125" style="5" bestFit="1" customWidth="1"/>
    <col min="12" max="12" width="27.6640625" style="5" bestFit="1" customWidth="1"/>
    <col min="13" max="13" width="27.5546875" style="5" bestFit="1" customWidth="1"/>
    <col min="14" max="14" width="39.88671875" style="5" bestFit="1" customWidth="1"/>
    <col min="15" max="15" width="41.88671875" style="5" bestFit="1" customWidth="1"/>
    <col min="16" max="16" width="16.33203125" bestFit="1" customWidth="1"/>
    <col min="17" max="17" width="12.5546875" bestFit="1" customWidth="1"/>
    <col min="18" max="18" width="22" customWidth="1"/>
    <col min="19" max="21" width="15.6640625" customWidth="1"/>
    <col min="22" max="22" width="11.6640625" customWidth="1"/>
  </cols>
  <sheetData>
    <row r="1" spans="2:17" x14ac:dyDescent="0.3">
      <c r="P1" s="241">
        <v>685024.71607305016</v>
      </c>
      <c r="Q1" s="314">
        <f>SUM(P1:P3)</f>
        <v>1923561.847937155</v>
      </c>
    </row>
    <row r="2" spans="2:17" ht="23.4" thickBot="1" x14ac:dyDescent="0.45">
      <c r="B2" s="462"/>
      <c r="P2" s="241">
        <v>640210.0150215422</v>
      </c>
    </row>
    <row r="3" spans="2:17" ht="28.8" x14ac:dyDescent="0.3">
      <c r="B3" s="381" t="s">
        <v>221</v>
      </c>
      <c r="C3" s="380" t="s">
        <v>280</v>
      </c>
      <c r="G3" s="570"/>
      <c r="H3" s="570"/>
      <c r="I3" s="570"/>
      <c r="J3" s="570"/>
      <c r="P3" s="241">
        <v>598327.11684256291</v>
      </c>
    </row>
    <row r="4" spans="2:17" ht="15.6" x14ac:dyDescent="0.3">
      <c r="B4" s="382" t="s">
        <v>220</v>
      </c>
      <c r="C4" s="370">
        <f>H74</f>
        <v>17441866.224457785</v>
      </c>
      <c r="P4" s="241">
        <v>5769764.4657290466</v>
      </c>
      <c r="Q4" s="314">
        <f>SUM(P4:P5)</f>
        <v>11162067.704728156</v>
      </c>
    </row>
    <row r="5" spans="2:17" ht="15.6" x14ac:dyDescent="0.3">
      <c r="B5" s="383" t="s">
        <v>216</v>
      </c>
      <c r="C5" s="369">
        <f>I74</f>
        <v>9666481.998678064</v>
      </c>
      <c r="P5" s="241">
        <v>5392303.2389991088</v>
      </c>
    </row>
    <row r="6" spans="2:17" ht="15.6" hidden="1" x14ac:dyDescent="0.3">
      <c r="B6" s="383" t="s">
        <v>215</v>
      </c>
      <c r="C6" s="369">
        <f>J74</f>
        <v>251835.95334806998</v>
      </c>
    </row>
    <row r="7" spans="2:17" ht="15.6" x14ac:dyDescent="0.3">
      <c r="B7" s="383" t="s">
        <v>214</v>
      </c>
      <c r="C7" s="369">
        <f>K74</f>
        <v>651425.74053519871</v>
      </c>
    </row>
    <row r="8" spans="2:17" ht="15.6" x14ac:dyDescent="0.3">
      <c r="B8" s="384" t="s">
        <v>213</v>
      </c>
      <c r="C8" s="367">
        <f>SUM(C4:C7)</f>
        <v>28011609.917019121</v>
      </c>
      <c r="F8" s="566"/>
      <c r="G8" s="566"/>
      <c r="H8" s="566"/>
      <c r="I8" s="566"/>
    </row>
    <row r="9" spans="2:17" ht="15.6" x14ac:dyDescent="0.3">
      <c r="B9" s="383" t="s">
        <v>212</v>
      </c>
      <c r="C9" s="368">
        <f>SUM('Benefits-Cost Summary'!R7:R8)</f>
        <v>0</v>
      </c>
      <c r="F9" s="566"/>
      <c r="G9" s="566"/>
      <c r="H9" s="566"/>
      <c r="I9" s="566"/>
    </row>
    <row r="10" spans="2:17" ht="15.6" x14ac:dyDescent="0.3">
      <c r="B10" s="383" t="s">
        <v>211</v>
      </c>
      <c r="C10" s="368">
        <f>SUM('Benefits-Cost Summary'!R9:R10)</f>
        <v>7814791.9681576695</v>
      </c>
      <c r="F10" s="566"/>
      <c r="G10" s="566"/>
      <c r="H10" s="566"/>
      <c r="I10" s="566"/>
    </row>
    <row r="11" spans="2:17" ht="15.6" x14ac:dyDescent="0.3">
      <c r="B11" s="384" t="s">
        <v>210</v>
      </c>
      <c r="C11" s="367">
        <f>SUM(C9:C10)</f>
        <v>7814791.9681576695</v>
      </c>
      <c r="F11" s="566"/>
      <c r="G11" s="566"/>
      <c r="H11" s="566"/>
      <c r="I11" s="566"/>
    </row>
    <row r="12" spans="2:17" ht="16.2" thickBot="1" x14ac:dyDescent="0.35">
      <c r="B12" s="385" t="s">
        <v>209</v>
      </c>
      <c r="C12" s="366">
        <f>'Benefits-Cost Summary'!P50</f>
        <v>3.5844344969329791</v>
      </c>
      <c r="F12" s="566"/>
      <c r="G12" s="566"/>
      <c r="H12" s="566"/>
      <c r="I12" s="566"/>
    </row>
    <row r="14" spans="2:17" ht="15" thickBot="1" x14ac:dyDescent="0.35"/>
    <row r="15" spans="2:17" ht="28.8" x14ac:dyDescent="0.3">
      <c r="B15" s="381" t="s">
        <v>221</v>
      </c>
      <c r="C15" s="380" t="s">
        <v>279</v>
      </c>
      <c r="E15" s="571" t="s">
        <v>255</v>
      </c>
    </row>
    <row r="16" spans="2:17" ht="15.6" x14ac:dyDescent="0.3">
      <c r="B16" s="447" t="s">
        <v>266</v>
      </c>
      <c r="C16" s="365"/>
      <c r="E16" s="572"/>
    </row>
    <row r="17" spans="2:5" ht="15.6" x14ac:dyDescent="0.3">
      <c r="B17" s="383" t="s">
        <v>208</v>
      </c>
      <c r="C17" s="364"/>
      <c r="E17" s="572"/>
    </row>
    <row r="18" spans="2:5" ht="15.6" x14ac:dyDescent="0.3">
      <c r="B18" s="383" t="s">
        <v>207</v>
      </c>
      <c r="C18" s="364"/>
      <c r="E18" s="572"/>
    </row>
    <row r="19" spans="2:5" ht="15.6" x14ac:dyDescent="0.3">
      <c r="B19" s="383" t="s">
        <v>206</v>
      </c>
      <c r="C19" s="364"/>
      <c r="E19" s="572"/>
    </row>
    <row r="20" spans="2:5" ht="15.6" x14ac:dyDescent="0.3">
      <c r="B20" s="384" t="s">
        <v>281</v>
      </c>
      <c r="C20" s="363">
        <f>'Funding Assumptions'!L19</f>
        <v>10590000</v>
      </c>
      <c r="E20" s="573"/>
    </row>
    <row r="21" spans="2:5" ht="15.6" x14ac:dyDescent="0.3">
      <c r="B21" s="460"/>
      <c r="C21" s="461"/>
      <c r="E21" s="459"/>
    </row>
    <row r="22" spans="2:5" ht="23.4" thickBot="1" x14ac:dyDescent="0.45">
      <c r="B22" s="462" t="s">
        <v>286</v>
      </c>
    </row>
    <row r="23" spans="2:5" ht="41.4" x14ac:dyDescent="0.3">
      <c r="B23" s="448" t="s">
        <v>256</v>
      </c>
      <c r="C23" s="449" t="s">
        <v>68</v>
      </c>
      <c r="D23" s="449" t="s">
        <v>253</v>
      </c>
      <c r="E23" s="449" t="s">
        <v>254</v>
      </c>
    </row>
    <row r="24" spans="2:5" ht="15.6" x14ac:dyDescent="0.3">
      <c r="B24" s="450" t="s">
        <v>163</v>
      </c>
      <c r="C24" s="451">
        <f>'VHT Savings'!H14</f>
        <v>41134</v>
      </c>
      <c r="D24" s="452">
        <f>'VHT Savings'!I14</f>
        <v>48513</v>
      </c>
      <c r="E24" s="452">
        <f>'VHT Savings'!J14</f>
        <v>52530</v>
      </c>
    </row>
    <row r="25" spans="2:5" ht="15.6" x14ac:dyDescent="0.3">
      <c r="B25" s="453" t="s">
        <v>205</v>
      </c>
      <c r="C25" s="454">
        <f>'VHT Savings'!H13</f>
        <v>889.66666666666663</v>
      </c>
      <c r="D25" s="455">
        <f>'VHT Savings'!I13</f>
        <v>1099</v>
      </c>
      <c r="E25" s="455">
        <f>'VHT Savings'!J13</f>
        <v>1190</v>
      </c>
    </row>
    <row r="26" spans="2:5" ht="15.75" customHeight="1" x14ac:dyDescent="0.3">
      <c r="B26" s="453" t="s">
        <v>204</v>
      </c>
      <c r="C26" s="454">
        <f>'VHT Savings'!H15</f>
        <v>0</v>
      </c>
      <c r="D26" s="455">
        <f>'VHT Savings'!I15</f>
        <v>209.33333333333337</v>
      </c>
      <c r="E26" s="455">
        <f>'VHT Savings'!J15</f>
        <v>226.66666666666674</v>
      </c>
    </row>
    <row r="27" spans="2:5" ht="16.2" thickBot="1" x14ac:dyDescent="0.35">
      <c r="B27" s="456" t="s">
        <v>267</v>
      </c>
      <c r="C27" s="457">
        <f>'VHT Savings'!H16</f>
        <v>0</v>
      </c>
      <c r="D27" s="458">
        <f>'VHT Savings'!I16</f>
        <v>7379</v>
      </c>
      <c r="E27" s="458">
        <f>'VHT Savings'!J16</f>
        <v>7990</v>
      </c>
    </row>
    <row r="30" spans="2:5" ht="28.8" hidden="1" x14ac:dyDescent="0.3">
      <c r="B30" s="386" t="s">
        <v>203</v>
      </c>
      <c r="C30" s="380" t="s">
        <v>195</v>
      </c>
      <c r="D30" s="380" t="s">
        <v>202</v>
      </c>
      <c r="E30" s="380" t="s">
        <v>201</v>
      </c>
    </row>
    <row r="31" spans="2:5" ht="28.8" hidden="1" x14ac:dyDescent="0.3">
      <c r="B31" s="387" t="s">
        <v>200</v>
      </c>
      <c r="C31" s="362">
        <v>0.93</v>
      </c>
      <c r="D31" s="359" t="s">
        <v>198</v>
      </c>
      <c r="E31" s="361" t="s">
        <v>197</v>
      </c>
    </row>
    <row r="32" spans="2:5" hidden="1" x14ac:dyDescent="0.3">
      <c r="B32" s="388" t="s">
        <v>199</v>
      </c>
      <c r="C32" s="360">
        <v>0.72</v>
      </c>
      <c r="D32" s="359" t="s">
        <v>198</v>
      </c>
      <c r="E32" s="359" t="s">
        <v>197</v>
      </c>
    </row>
    <row r="33" spans="2:12" hidden="1" x14ac:dyDescent="0.3">
      <c r="B33" t="s">
        <v>196</v>
      </c>
    </row>
    <row r="38" spans="2:12" ht="15" thickBot="1" x14ac:dyDescent="0.35"/>
    <row r="39" spans="2:12" x14ac:dyDescent="0.3">
      <c r="C39" s="475" t="s">
        <v>219</v>
      </c>
      <c r="D39" s="476"/>
      <c r="E39" s="476"/>
      <c r="F39" s="569"/>
      <c r="G39" s="442"/>
      <c r="H39" s="567" t="s">
        <v>217</v>
      </c>
      <c r="I39" s="476"/>
      <c r="J39" s="476"/>
      <c r="K39" s="568"/>
    </row>
    <row r="40" spans="2:12" ht="43.8" thickBot="1" x14ac:dyDescent="0.35">
      <c r="B40" s="371" t="s">
        <v>4</v>
      </c>
      <c r="C40" s="428" t="str">
        <f>'Benefits-Cost Summary'!C6</f>
        <v>Value of Time Savings ($2021)</v>
      </c>
      <c r="D40" s="429" t="str">
        <f>'Benefits-Cost Summary'!D6</f>
        <v>Value of O&amp;M Saved ($2021)</v>
      </c>
      <c r="E40" s="429" t="str">
        <f>'Benefits-Cost Summary'!E6</f>
        <v>Avoided Future Construction Costs ($2021)</v>
      </c>
      <c r="F40" s="435" t="str">
        <f>'Benefits-Cost Summary'!G6</f>
        <v>Residual Value of New Bridge                 ($2021)</v>
      </c>
      <c r="G40" s="443" t="s">
        <v>218</v>
      </c>
      <c r="H40" s="438" t="s">
        <v>275</v>
      </c>
      <c r="I40" s="429" t="s">
        <v>268</v>
      </c>
      <c r="J40" s="429" t="str">
        <f>E40</f>
        <v>Avoided Future Construction Costs ($2021)</v>
      </c>
      <c r="K40" s="430" t="s">
        <v>270</v>
      </c>
      <c r="L40" s="9"/>
    </row>
    <row r="41" spans="2:12" x14ac:dyDescent="0.3">
      <c r="B41">
        <f>'Benefits-Cost Summary'!A7</f>
        <v>2023</v>
      </c>
      <c r="C41" s="431">
        <f>'Benefits-Cost Summary'!C7</f>
        <v>0</v>
      </c>
      <c r="D41" s="432">
        <f>'Benefits-Cost Summary'!D7</f>
        <v>0</v>
      </c>
      <c r="E41" s="432">
        <f>'Benefits-Cost Summary'!F7</f>
        <v>50000</v>
      </c>
      <c r="F41" s="436">
        <f>'Benefits-Cost Summary'!G7</f>
        <v>0</v>
      </c>
      <c r="G41" s="444">
        <f>'Benefits-Cost Summary'!I7</f>
        <v>0.87343872827321156</v>
      </c>
      <c r="H41" s="439">
        <f>C41*$G41</f>
        <v>0</v>
      </c>
      <c r="I41" s="433">
        <f t="shared" ref="I41:I65" si="0">D41*$G41</f>
        <v>0</v>
      </c>
      <c r="J41" s="433">
        <f>E41*$G41</f>
        <v>43671.93641366058</v>
      </c>
      <c r="K41" s="434">
        <f t="shared" ref="K41:K65" si="1">F41*$G41</f>
        <v>0</v>
      </c>
    </row>
    <row r="42" spans="2:12" x14ac:dyDescent="0.3">
      <c r="B42">
        <f>'Benefits-Cost Summary'!A8</f>
        <v>2024</v>
      </c>
      <c r="C42" s="374">
        <f>'Benefits-Cost Summary'!C8</f>
        <v>0</v>
      </c>
      <c r="D42" s="372">
        <f>'Benefits-Cost Summary'!D8</f>
        <v>0</v>
      </c>
      <c r="E42" s="372">
        <f>'Benefits-Cost Summary'!F8</f>
        <v>50000</v>
      </c>
      <c r="F42" s="437">
        <f>'Benefits-Cost Summary'!G8</f>
        <v>0</v>
      </c>
      <c r="G42" s="445">
        <f>'Benefits-Cost Summary'!I8</f>
        <v>0.81629787689085187</v>
      </c>
      <c r="H42" s="440">
        <f t="shared" ref="H42:H65" si="2">C42*$G42</f>
        <v>0</v>
      </c>
      <c r="I42" s="373">
        <f t="shared" si="0"/>
        <v>0</v>
      </c>
      <c r="J42" s="373">
        <f t="shared" ref="J42:J65" si="3">E42*$G42</f>
        <v>40814.893844542596</v>
      </c>
      <c r="K42" s="377">
        <f t="shared" si="1"/>
        <v>0</v>
      </c>
    </row>
    <row r="43" spans="2:12" x14ac:dyDescent="0.3">
      <c r="B43">
        <f>'Benefits-Cost Summary'!A9</f>
        <v>2025</v>
      </c>
      <c r="C43" s="374">
        <f>'Benefits-Cost Summary'!C9</f>
        <v>0</v>
      </c>
      <c r="D43" s="372">
        <f>'Benefits-Cost Summary'!D9</f>
        <v>0</v>
      </c>
      <c r="E43" s="372">
        <f>'Benefits-Cost Summary'!F9</f>
        <v>50000</v>
      </c>
      <c r="F43" s="437">
        <f>'Benefits-Cost Summary'!G9</f>
        <v>0</v>
      </c>
      <c r="G43" s="445">
        <f>'Benefits-Cost Summary'!I9</f>
        <v>0.7628952120475252</v>
      </c>
      <c r="H43" s="440">
        <f t="shared" si="2"/>
        <v>0</v>
      </c>
      <c r="I43" s="373">
        <f t="shared" si="0"/>
        <v>0</v>
      </c>
      <c r="J43" s="373">
        <f t="shared" si="3"/>
        <v>38144.760602376256</v>
      </c>
      <c r="K43" s="377">
        <f t="shared" si="1"/>
        <v>0</v>
      </c>
    </row>
    <row r="44" spans="2:12" x14ac:dyDescent="0.3">
      <c r="B44">
        <f>'Benefits-Cost Summary'!A10</f>
        <v>2026</v>
      </c>
      <c r="C44" s="374">
        <f>'Benefits-Cost Summary'!C10</f>
        <v>0</v>
      </c>
      <c r="D44" s="372">
        <f>'Benefits-Cost Summary'!D10</f>
        <v>0</v>
      </c>
      <c r="E44" s="372">
        <f>'Benefits-Cost Summary'!F10</f>
        <v>50000</v>
      </c>
      <c r="F44" s="437">
        <f>'Benefits-Cost Summary'!G10</f>
        <v>0</v>
      </c>
      <c r="G44" s="445">
        <f>'Benefits-Cost Summary'!I10</f>
        <v>0.71298617948366838</v>
      </c>
      <c r="H44" s="440">
        <f t="shared" si="2"/>
        <v>0</v>
      </c>
      <c r="I44" s="373">
        <f t="shared" si="0"/>
        <v>0</v>
      </c>
      <c r="J44" s="373">
        <f t="shared" si="3"/>
        <v>35649.308974183419</v>
      </c>
      <c r="K44" s="377">
        <f t="shared" si="1"/>
        <v>0</v>
      </c>
    </row>
    <row r="45" spans="2:12" x14ac:dyDescent="0.3">
      <c r="B45">
        <f>'Benefits-Cost Summary'!A11</f>
        <v>2027</v>
      </c>
      <c r="C45" s="374">
        <f>'Benefits-Cost Summary'!C11</f>
        <v>0</v>
      </c>
      <c r="D45" s="372">
        <f>'Benefits-Cost Summary'!D11</f>
        <v>0</v>
      </c>
      <c r="E45" s="372">
        <f>'Benefits-Cost Summary'!F11</f>
        <v>50000</v>
      </c>
      <c r="F45" s="437">
        <f>'Benefits-Cost Summary'!G11</f>
        <v>0</v>
      </c>
      <c r="G45" s="445">
        <f>'Benefits-Cost Summary'!I11</f>
        <v>0.66634222381651254</v>
      </c>
      <c r="H45" s="440">
        <f t="shared" si="2"/>
        <v>0</v>
      </c>
      <c r="I45" s="373">
        <f t="shared" si="0"/>
        <v>0</v>
      </c>
      <c r="J45" s="373">
        <f t="shared" si="3"/>
        <v>33317.111190825628</v>
      </c>
      <c r="K45" s="377">
        <f t="shared" si="1"/>
        <v>0</v>
      </c>
    </row>
    <row r="46" spans="2:12" x14ac:dyDescent="0.3">
      <c r="B46">
        <f>'Benefits-Cost Summary'!A12</f>
        <v>2028</v>
      </c>
      <c r="C46" s="374">
        <f>'Benefits-Cost Summary'!C12</f>
        <v>0</v>
      </c>
      <c r="D46" s="372">
        <f>'Benefits-Cost Summary'!D12</f>
        <v>0</v>
      </c>
      <c r="E46" s="372">
        <f>'Benefits-Cost Summary'!F12</f>
        <v>50000</v>
      </c>
      <c r="F46" s="437">
        <f>'Benefits-Cost Summary'!G12</f>
        <v>0</v>
      </c>
      <c r="G46" s="445">
        <f>'Benefits-Cost Summary'!I12</f>
        <v>0.62274974188459109</v>
      </c>
      <c r="H46" s="440">
        <f t="shared" si="2"/>
        <v>0</v>
      </c>
      <c r="I46" s="373">
        <f t="shared" si="0"/>
        <v>0</v>
      </c>
      <c r="J46" s="373">
        <f t="shared" si="3"/>
        <v>31137.487094229553</v>
      </c>
      <c r="K46" s="377">
        <f t="shared" si="1"/>
        <v>0</v>
      </c>
    </row>
    <row r="47" spans="2:12" x14ac:dyDescent="0.3">
      <c r="B47">
        <f>'Benefits-Cost Summary'!A13</f>
        <v>2029</v>
      </c>
      <c r="C47" s="374">
        <f>'Benefits-Cost Summary'!C13</f>
        <v>0</v>
      </c>
      <c r="D47" s="372">
        <f>'Benefits-Cost Summary'!D13</f>
        <v>0</v>
      </c>
      <c r="E47" s="372">
        <f>'Benefits-Cost Summary'!F13</f>
        <v>50000</v>
      </c>
      <c r="F47" s="437">
        <f>'Benefits-Cost Summary'!G13</f>
        <v>0</v>
      </c>
      <c r="G47" s="445">
        <f>'Benefits-Cost Summary'!I13</f>
        <v>0.5820091045650384</v>
      </c>
      <c r="H47" s="440">
        <f t="shared" si="2"/>
        <v>0</v>
      </c>
      <c r="I47" s="373">
        <f t="shared" si="0"/>
        <v>0</v>
      </c>
      <c r="J47" s="373">
        <f t="shared" si="3"/>
        <v>29100.455228251922</v>
      </c>
      <c r="K47" s="377">
        <f t="shared" si="1"/>
        <v>0</v>
      </c>
    </row>
    <row r="48" spans="2:12" x14ac:dyDescent="0.3">
      <c r="B48">
        <f>'Benefits-Cost Summary'!A14</f>
        <v>2030</v>
      </c>
      <c r="C48" s="374">
        <f>'Benefits-Cost Summary'!C14</f>
        <v>2398534.8650568398</v>
      </c>
      <c r="D48" s="372">
        <f>'Benefits-Cost Summary'!D14</f>
        <v>1329295.4892500001</v>
      </c>
      <c r="E48" s="372">
        <f>'Benefits-Cost Summary'!F14</f>
        <v>0</v>
      </c>
      <c r="F48" s="437">
        <f>'Benefits-Cost Summary'!G14</f>
        <v>0</v>
      </c>
      <c r="G48" s="445">
        <f>'Benefits-Cost Summary'!I14</f>
        <v>0.54393374258414806</v>
      </c>
      <c r="H48" s="440">
        <f t="shared" si="2"/>
        <v>1304644.0458689313</v>
      </c>
      <c r="I48" s="373">
        <f t="shared" si="0"/>
        <v>723048.67046797869</v>
      </c>
      <c r="J48" s="373">
        <f t="shared" si="3"/>
        <v>0</v>
      </c>
      <c r="K48" s="377">
        <f t="shared" si="1"/>
        <v>0</v>
      </c>
    </row>
    <row r="49" spans="2:11" x14ac:dyDescent="0.3">
      <c r="B49">
        <f>'Benefits-Cost Summary'!A15</f>
        <v>2031</v>
      </c>
      <c r="C49" s="374">
        <f>'Benefits-Cost Summary'!C15</f>
        <v>2413812.1571909594</v>
      </c>
      <c r="D49" s="372">
        <f>'Benefits-Cost Summary'!D15</f>
        <v>1337762.3395</v>
      </c>
      <c r="E49" s="372">
        <f>'Benefits-Cost Summary'!F15</f>
        <v>0</v>
      </c>
      <c r="F49" s="437">
        <f>'Benefits-Cost Summary'!G15</f>
        <v>0</v>
      </c>
      <c r="G49" s="445">
        <f>'Benefits-Cost Summary'!I15</f>
        <v>0.5083492921347178</v>
      </c>
      <c r="H49" s="440">
        <f t="shared" si="2"/>
        <v>1227059.7014542003</v>
      </c>
      <c r="I49" s="373">
        <f t="shared" si="0"/>
        <v>680050.53832930909</v>
      </c>
      <c r="J49" s="373">
        <f t="shared" si="3"/>
        <v>0</v>
      </c>
      <c r="K49" s="377">
        <f t="shared" si="1"/>
        <v>0</v>
      </c>
    </row>
    <row r="50" spans="2:11" x14ac:dyDescent="0.3">
      <c r="B50">
        <f>'Benefits-Cost Summary'!A16</f>
        <v>2032</v>
      </c>
      <c r="C50" s="374">
        <f>'Benefits-Cost Summary'!C16</f>
        <v>2429089.4493250796</v>
      </c>
      <c r="D50" s="372">
        <f>'Benefits-Cost Summary'!D16</f>
        <v>1346229.1897499999</v>
      </c>
      <c r="E50" s="372">
        <f>'Benefits-Cost Summary'!F16</f>
        <v>0</v>
      </c>
      <c r="F50" s="437">
        <f>'Benefits-Cost Summary'!G16</f>
        <v>0</v>
      </c>
      <c r="G50" s="445">
        <f>'Benefits-Cost Summary'!I16</f>
        <v>0.47509279638758667</v>
      </c>
      <c r="H50" s="440">
        <f t="shared" si="2"/>
        <v>1154042.8991554352</v>
      </c>
      <c r="I50" s="373">
        <f t="shared" si="0"/>
        <v>639583.79033692251</v>
      </c>
      <c r="J50" s="373">
        <f t="shared" si="3"/>
        <v>0</v>
      </c>
      <c r="K50" s="377">
        <f t="shared" si="1"/>
        <v>0</v>
      </c>
    </row>
    <row r="51" spans="2:11" x14ac:dyDescent="0.3">
      <c r="B51">
        <f>'Benefits-Cost Summary'!A17</f>
        <v>2033</v>
      </c>
      <c r="C51" s="374">
        <f>'Benefits-Cost Summary'!C17</f>
        <v>2444366.7414591997</v>
      </c>
      <c r="D51" s="372">
        <f>'Benefits-Cost Summary'!D17</f>
        <v>1354696.04</v>
      </c>
      <c r="E51" s="372">
        <f>'Benefits-Cost Summary'!F17</f>
        <v>0</v>
      </c>
      <c r="F51" s="437">
        <f>'Benefits-Cost Summary'!G17</f>
        <v>0</v>
      </c>
      <c r="G51" s="445">
        <f>'Benefits-Cost Summary'!I17</f>
        <v>0.44401195924073528</v>
      </c>
      <c r="H51" s="440">
        <f t="shared" si="2"/>
        <v>1085328.0659781911</v>
      </c>
      <c r="I51" s="373">
        <f t="shared" si="0"/>
        <v>601501.24289606547</v>
      </c>
      <c r="J51" s="373">
        <f t="shared" si="3"/>
        <v>0</v>
      </c>
      <c r="K51" s="377">
        <f t="shared" si="1"/>
        <v>0</v>
      </c>
    </row>
    <row r="52" spans="2:11" x14ac:dyDescent="0.3">
      <c r="B52">
        <f>'Benefits-Cost Summary'!A18</f>
        <v>2034</v>
      </c>
      <c r="C52" s="374">
        <f>'Benefits-Cost Summary'!C18</f>
        <v>2459644.0335933198</v>
      </c>
      <c r="D52" s="372">
        <f>'Benefits-Cost Summary'!D18</f>
        <v>1363162.8902499999</v>
      </c>
      <c r="E52" s="372">
        <f>'Benefits-Cost Summary'!F18</f>
        <v>0</v>
      </c>
      <c r="F52" s="437">
        <f>'Benefits-Cost Summary'!G18</f>
        <v>0</v>
      </c>
      <c r="G52" s="445">
        <f>'Benefits-Cost Summary'!I18</f>
        <v>0.41496444788853759</v>
      </c>
      <c r="H52" s="440">
        <f t="shared" si="2"/>
        <v>1020664.8284023876</v>
      </c>
      <c r="I52" s="373">
        <f t="shared" si="0"/>
        <v>565664.13613473438</v>
      </c>
      <c r="J52" s="373">
        <f t="shared" si="3"/>
        <v>0</v>
      </c>
      <c r="K52" s="377">
        <f t="shared" si="1"/>
        <v>0</v>
      </c>
    </row>
    <row r="53" spans="2:11" x14ac:dyDescent="0.3">
      <c r="B53">
        <f>'Benefits-Cost Summary'!A19</f>
        <v>2035</v>
      </c>
      <c r="C53" s="374">
        <f>'Benefits-Cost Summary'!C19</f>
        <v>2474921.32572744</v>
      </c>
      <c r="D53" s="372">
        <f>'Benefits-Cost Summary'!D19</f>
        <v>1371629.7404999998</v>
      </c>
      <c r="E53" s="372">
        <f>'Benefits-Cost Summary'!F19</f>
        <v>0</v>
      </c>
      <c r="F53" s="437">
        <f>'Benefits-Cost Summary'!G19</f>
        <v>0</v>
      </c>
      <c r="G53" s="445">
        <f>'Benefits-Cost Summary'!I19</f>
        <v>0.3878172410173249</v>
      </c>
      <c r="H53" s="440">
        <f t="shared" si="2"/>
        <v>959817.16027855582</v>
      </c>
      <c r="I53" s="373">
        <f t="shared" si="0"/>
        <v>531941.66165801929</v>
      </c>
      <c r="J53" s="373">
        <f t="shared" si="3"/>
        <v>0</v>
      </c>
      <c r="K53" s="377">
        <f t="shared" si="1"/>
        <v>0</v>
      </c>
    </row>
    <row r="54" spans="2:11" x14ac:dyDescent="0.3">
      <c r="B54">
        <f>'Benefits-Cost Summary'!A20</f>
        <v>2036</v>
      </c>
      <c r="C54" s="374">
        <f>'Benefits-Cost Summary'!C20</f>
        <v>2490198.6178615601</v>
      </c>
      <c r="D54" s="372">
        <f>'Benefits-Cost Summary'!D20</f>
        <v>1380096.5907499997</v>
      </c>
      <c r="E54" s="372">
        <f>'Benefits-Cost Summary'!F20</f>
        <v>0</v>
      </c>
      <c r="F54" s="437">
        <f>'Benefits-Cost Summary'!G20</f>
        <v>0</v>
      </c>
      <c r="G54" s="445">
        <f>'Benefits-Cost Summary'!I20</f>
        <v>0.36244601964235967</v>
      </c>
      <c r="H54" s="440">
        <f t="shared" si="2"/>
        <v>902562.57716282795</v>
      </c>
      <c r="I54" s="373">
        <f t="shared" si="0"/>
        <v>500210.51603932801</v>
      </c>
      <c r="J54" s="373">
        <f t="shared" si="3"/>
        <v>0</v>
      </c>
      <c r="K54" s="377">
        <f t="shared" si="1"/>
        <v>0</v>
      </c>
    </row>
    <row r="55" spans="2:11" x14ac:dyDescent="0.3">
      <c r="B55">
        <f>'Benefits-Cost Summary'!A21</f>
        <v>2037</v>
      </c>
      <c r="C55" s="374">
        <f>'Benefits-Cost Summary'!C21</f>
        <v>2505475.9099956797</v>
      </c>
      <c r="D55" s="372">
        <f>'Benefits-Cost Summary'!D21</f>
        <v>1388563.4410000001</v>
      </c>
      <c r="E55" s="372">
        <f>'Benefits-Cost Summary'!F21</f>
        <v>0</v>
      </c>
      <c r="F55" s="437">
        <f>'Benefits-Cost Summary'!G21</f>
        <v>0</v>
      </c>
      <c r="G55" s="445">
        <f>'Benefits-Cost Summary'!I21</f>
        <v>0.33873459779659787</v>
      </c>
      <c r="H55" s="440">
        <f t="shared" si="2"/>
        <v>848691.37466145167</v>
      </c>
      <c r="I55" s="373">
        <f t="shared" si="0"/>
        <v>470354.47870219499</v>
      </c>
      <c r="J55" s="373">
        <f t="shared" si="3"/>
        <v>0</v>
      </c>
      <c r="K55" s="377">
        <f t="shared" si="1"/>
        <v>0</v>
      </c>
    </row>
    <row r="56" spans="2:11" x14ac:dyDescent="0.3">
      <c r="B56">
        <f>'Benefits-Cost Summary'!A22</f>
        <v>2038</v>
      </c>
      <c r="C56" s="374">
        <f>'Benefits-Cost Summary'!C22</f>
        <v>2520753.2021297999</v>
      </c>
      <c r="D56" s="372">
        <f>'Benefits-Cost Summary'!D22</f>
        <v>1397030.29125</v>
      </c>
      <c r="E56" s="372">
        <f>'Benefits-Cost Summary'!F22</f>
        <v>0</v>
      </c>
      <c r="F56" s="437">
        <f>'Benefits-Cost Summary'!G22</f>
        <v>0</v>
      </c>
      <c r="G56" s="445">
        <f>'Benefits-Cost Summary'!I22</f>
        <v>0.31657439046411018</v>
      </c>
      <c r="H56" s="440">
        <f t="shared" si="2"/>
        <v>798005.90847469529</v>
      </c>
      <c r="I56" s="373">
        <f t="shared" si="0"/>
        <v>442264.01291236706</v>
      </c>
      <c r="J56" s="373">
        <f t="shared" si="3"/>
        <v>0</v>
      </c>
      <c r="K56" s="377">
        <f t="shared" si="1"/>
        <v>0</v>
      </c>
    </row>
    <row r="57" spans="2:11" x14ac:dyDescent="0.3">
      <c r="B57">
        <f>'Benefits-Cost Summary'!A23</f>
        <v>2039</v>
      </c>
      <c r="C57" s="374">
        <f>'Benefits-Cost Summary'!C23</f>
        <v>2536030.49426392</v>
      </c>
      <c r="D57" s="372">
        <f>'Benefits-Cost Summary'!D23</f>
        <v>1405497.1414999999</v>
      </c>
      <c r="E57" s="372">
        <f>'Benefits-Cost Summary'!F23</f>
        <v>0</v>
      </c>
      <c r="F57" s="437">
        <f>'Benefits-Cost Summary'!G23</f>
        <v>0</v>
      </c>
      <c r="G57" s="445">
        <f>'Benefits-Cost Summary'!I23</f>
        <v>0.29586391632159825</v>
      </c>
      <c r="H57" s="440">
        <f t="shared" si="2"/>
        <v>750319.91394392191</v>
      </c>
      <c r="I57" s="373">
        <f t="shared" si="0"/>
        <v>415835.88866300153</v>
      </c>
      <c r="J57" s="373">
        <f t="shared" si="3"/>
        <v>0</v>
      </c>
      <c r="K57" s="377">
        <f t="shared" si="1"/>
        <v>0</v>
      </c>
    </row>
    <row r="58" spans="2:11" x14ac:dyDescent="0.3">
      <c r="B58">
        <f>'Benefits-Cost Summary'!A24</f>
        <v>2040</v>
      </c>
      <c r="C58" s="374">
        <f>'Benefits-Cost Summary'!C24</f>
        <v>2551307.7863980397</v>
      </c>
      <c r="D58" s="372">
        <f>'Benefits-Cost Summary'!D24</f>
        <v>1413963.9917499998</v>
      </c>
      <c r="E58" s="372">
        <f>'Benefits-Cost Summary'!F24</f>
        <v>0</v>
      </c>
      <c r="F58" s="437">
        <f>'Benefits-Cost Summary'!G24</f>
        <v>0</v>
      </c>
      <c r="G58" s="445">
        <f>'Benefits-Cost Summary'!I24</f>
        <v>0.27650833301083949</v>
      </c>
      <c r="H58" s="440">
        <f t="shared" si="2"/>
        <v>705457.86301449686</v>
      </c>
      <c r="I58" s="373">
        <f t="shared" si="0"/>
        <v>390972.82629614486</v>
      </c>
      <c r="J58" s="373">
        <f t="shared" si="3"/>
        <v>0</v>
      </c>
      <c r="K58" s="377">
        <f t="shared" si="1"/>
        <v>0</v>
      </c>
    </row>
    <row r="59" spans="2:11" x14ac:dyDescent="0.3">
      <c r="B59">
        <f>'Benefits-Cost Summary'!A25</f>
        <v>2041</v>
      </c>
      <c r="C59" s="374">
        <f>'Benefits-Cost Summary'!C25</f>
        <v>2566585.0785321598</v>
      </c>
      <c r="D59" s="372">
        <f>'Benefits-Cost Summary'!D25</f>
        <v>1422430.8419999997</v>
      </c>
      <c r="E59" s="372">
        <f>'Benefits-Cost Summary'!F25</f>
        <v>0</v>
      </c>
      <c r="F59" s="437">
        <f>'Benefits-Cost Summary'!G25</f>
        <v>0</v>
      </c>
      <c r="G59" s="445">
        <f>'Benefits-Cost Summary'!I25</f>
        <v>0.2584190028138687</v>
      </c>
      <c r="H59" s="440">
        <f t="shared" si="2"/>
        <v>663254.35663123569</v>
      </c>
      <c r="I59" s="373">
        <f t="shared" si="0"/>
        <v>367583.15976133157</v>
      </c>
      <c r="J59" s="373">
        <f t="shared" si="3"/>
        <v>0</v>
      </c>
      <c r="K59" s="377">
        <f t="shared" si="1"/>
        <v>0</v>
      </c>
    </row>
    <row r="60" spans="2:11" x14ac:dyDescent="0.3">
      <c r="B60">
        <f>'Benefits-Cost Summary'!A26</f>
        <v>2042</v>
      </c>
      <c r="C60" s="374">
        <f>'Benefits-Cost Summary'!C26</f>
        <v>2581862.3706662799</v>
      </c>
      <c r="D60" s="372">
        <f>'Benefits-Cost Summary'!D26</f>
        <v>1430897.6922499998</v>
      </c>
      <c r="E60" s="372">
        <f>'Benefits-Cost Summary'!F26</f>
        <v>0</v>
      </c>
      <c r="F60" s="437">
        <f>'Benefits-Cost Summary'!G26</f>
        <v>0</v>
      </c>
      <c r="G60" s="445">
        <f>'Benefits-Cost Summary'!I26</f>
        <v>0.24151308674193336</v>
      </c>
      <c r="H60" s="440">
        <f t="shared" si="2"/>
        <v>623553.55068245903</v>
      </c>
      <c r="I60" s="373">
        <f t="shared" si="0"/>
        <v>345580.51846720651</v>
      </c>
      <c r="J60" s="373">
        <f t="shared" si="3"/>
        <v>0</v>
      </c>
      <c r="K60" s="377">
        <f t="shared" si="1"/>
        <v>0</v>
      </c>
    </row>
    <row r="61" spans="2:11" x14ac:dyDescent="0.3">
      <c r="B61">
        <f>'Benefits-Cost Summary'!A27</f>
        <v>2043</v>
      </c>
      <c r="C61" s="374">
        <f>'Benefits-Cost Summary'!C27</f>
        <v>2597139.6628003996</v>
      </c>
      <c r="D61" s="372">
        <f>'Benefits-Cost Summary'!D27</f>
        <v>1439364.5425</v>
      </c>
      <c r="E61" s="372">
        <f>'Benefits-Cost Summary'!F27</f>
        <v>0</v>
      </c>
      <c r="F61" s="437">
        <f>'Benefits-Cost Summary'!G27</f>
        <v>0</v>
      </c>
      <c r="G61" s="445">
        <f>'Benefits-Cost Summary'!I27</f>
        <v>0.22571316517937698</v>
      </c>
      <c r="H61" s="440">
        <f t="shared" si="2"/>
        <v>586208.61370357801</v>
      </c>
      <c r="I61" s="373">
        <f t="shared" si="0"/>
        <v>324883.52673464088</v>
      </c>
      <c r="J61" s="373">
        <f t="shared" si="3"/>
        <v>0</v>
      </c>
      <c r="K61" s="377">
        <f t="shared" si="1"/>
        <v>0</v>
      </c>
    </row>
    <row r="62" spans="2:11" x14ac:dyDescent="0.3">
      <c r="B62">
        <f>'Benefits-Cost Summary'!A28</f>
        <v>2044</v>
      </c>
      <c r="C62" s="374">
        <f>'Benefits-Cost Summary'!C28</f>
        <v>2612416.9549345197</v>
      </c>
      <c r="D62" s="372">
        <f>'Benefits-Cost Summary'!D28</f>
        <v>1447831.3927499999</v>
      </c>
      <c r="E62" s="372">
        <f>'Benefits-Cost Summary'!F28</f>
        <v>0</v>
      </c>
      <c r="F62" s="437">
        <f>'Benefits-Cost Summary'!G28</f>
        <v>0</v>
      </c>
      <c r="G62" s="445">
        <f>'Benefits-Cost Summary'!I28</f>
        <v>0.21094688334521211</v>
      </c>
      <c r="H62" s="440">
        <f t="shared" si="2"/>
        <v>551081.21464162634</v>
      </c>
      <c r="I62" s="373">
        <f t="shared" si="0"/>
        <v>305415.51990997023</v>
      </c>
      <c r="J62" s="373">
        <f t="shared" si="3"/>
        <v>0</v>
      </c>
      <c r="K62" s="377">
        <f t="shared" si="1"/>
        <v>0</v>
      </c>
    </row>
    <row r="63" spans="2:11" x14ac:dyDescent="0.3">
      <c r="B63">
        <f>'Benefits-Cost Summary'!A29</f>
        <v>2045</v>
      </c>
      <c r="C63" s="374">
        <f>'Benefits-Cost Summary'!C29</f>
        <v>2627694.2470686398</v>
      </c>
      <c r="D63" s="372">
        <f>'Benefits-Cost Summary'!D29</f>
        <v>1456298.2429999998</v>
      </c>
      <c r="E63" s="372">
        <f>'Benefits-Cost Summary'!F29</f>
        <v>0</v>
      </c>
      <c r="F63" s="437">
        <f>'Benefits-Cost Summary'!G29</f>
        <v>0</v>
      </c>
      <c r="G63" s="445">
        <f>'Benefits-Cost Summary'!I29</f>
        <v>0.19714661994879637</v>
      </c>
      <c r="H63" s="440">
        <f t="shared" si="2"/>
        <v>518041.03906847979</v>
      </c>
      <c r="I63" s="373">
        <f t="shared" si="0"/>
        <v>287104.27624482085</v>
      </c>
      <c r="J63" s="373">
        <f t="shared" si="3"/>
        <v>0</v>
      </c>
      <c r="K63" s="377">
        <f t="shared" si="1"/>
        <v>0</v>
      </c>
    </row>
    <row r="64" spans="2:11" x14ac:dyDescent="0.3">
      <c r="B64">
        <f>'Benefits-Cost Summary'!A30</f>
        <v>2046</v>
      </c>
      <c r="C64" s="374">
        <f>'Benefits-Cost Summary'!C30</f>
        <v>2642971.5392027595</v>
      </c>
      <c r="D64" s="372">
        <f>'Benefits-Cost Summary'!D30</f>
        <v>1464765.0932499999</v>
      </c>
      <c r="E64" s="372">
        <f>'Benefits-Cost Summary'!F30</f>
        <v>0</v>
      </c>
      <c r="F64" s="437">
        <f>'Benefits-Cost Summary'!G30</f>
        <v>0</v>
      </c>
      <c r="G64" s="445">
        <f>'Benefits-Cost Summary'!I30</f>
        <v>0.18424917752223957</v>
      </c>
      <c r="H64" s="440">
        <f t="shared" si="2"/>
        <v>486965.33231279597</v>
      </c>
      <c r="I64" s="373">
        <f t="shared" si="0"/>
        <v>269881.76369459904</v>
      </c>
      <c r="J64" s="373">
        <f t="shared" si="3"/>
        <v>0</v>
      </c>
      <c r="K64" s="377">
        <f t="shared" si="1"/>
        <v>0</v>
      </c>
    </row>
    <row r="65" spans="2:11" x14ac:dyDescent="0.3">
      <c r="B65">
        <f>'Benefits-Cost Summary'!A31</f>
        <v>2047</v>
      </c>
      <c r="C65" s="374">
        <f>'Benefits-Cost Summary'!C31</f>
        <v>2658248.8313368796</v>
      </c>
      <c r="D65" s="372">
        <f>'Benefits-Cost Summary'!D31</f>
        <v>1473231.9434999998</v>
      </c>
      <c r="E65" s="372">
        <f>'Benefits-Cost Summary'!F31</f>
        <v>0</v>
      </c>
      <c r="F65" s="437">
        <f>'Benefits-Cost Summary'!G31</f>
        <v>0</v>
      </c>
      <c r="G65" s="445">
        <f>'Benefits-Cost Summary'!I31</f>
        <v>0.17219549301143888</v>
      </c>
      <c r="H65" s="440">
        <f t="shared" si="2"/>
        <v>457738.46805913525</v>
      </c>
      <c r="I65" s="373">
        <f t="shared" si="0"/>
        <v>253683.90083118275</v>
      </c>
      <c r="J65" s="373">
        <f t="shared" si="3"/>
        <v>0</v>
      </c>
      <c r="K65" s="377">
        <f t="shared" si="1"/>
        <v>0</v>
      </c>
    </row>
    <row r="66" spans="2:11" x14ac:dyDescent="0.3">
      <c r="B66">
        <f>'Benefits-Cost Summary'!A32</f>
        <v>2048</v>
      </c>
      <c r="C66" s="374">
        <f>'Benefits-Cost Summary'!C32</f>
        <v>2673526.1234709998</v>
      </c>
      <c r="D66" s="372">
        <f>'Benefits-Cost Summary'!D32</f>
        <v>1481698.7937499997</v>
      </c>
      <c r="E66" s="372">
        <f>'Benefits-Cost Summary'!F32</f>
        <v>0</v>
      </c>
      <c r="F66" s="437">
        <f>'Benefits-Cost Summary'!G32</f>
        <v>0</v>
      </c>
      <c r="G66" s="445">
        <f>'Benefits-Cost Summary'!I32</f>
        <v>0.16093036730041013</v>
      </c>
      <c r="H66" s="440">
        <f t="shared" ref="H66:H73" si="4">C66*$G66</f>
        <v>430251.54103742965</v>
      </c>
      <c r="I66" s="373">
        <f t="shared" ref="I66:I73" si="5">D66*$G66</f>
        <v>238450.33110676208</v>
      </c>
      <c r="J66" s="373">
        <f t="shared" ref="J66:J73" si="6">E66*$G66</f>
        <v>0</v>
      </c>
      <c r="K66" s="377">
        <f t="shared" ref="K66:K72" si="7">F66*$G66</f>
        <v>0</v>
      </c>
    </row>
    <row r="67" spans="2:11" x14ac:dyDescent="0.3">
      <c r="B67">
        <f>'Benefits-Cost Summary'!A33</f>
        <v>2049</v>
      </c>
      <c r="C67" s="374">
        <f>'Benefits-Cost Summary'!C33</f>
        <v>2688803.4156051194</v>
      </c>
      <c r="D67" s="372">
        <f>'Benefits-Cost Summary'!D33</f>
        <v>1490165.6439999999</v>
      </c>
      <c r="E67" s="372">
        <f>'Benefits-Cost Summary'!F33</f>
        <v>0</v>
      </c>
      <c r="F67" s="437">
        <f>'Benefits-Cost Summary'!G33</f>
        <v>0</v>
      </c>
      <c r="G67" s="445">
        <f>'Benefits-Cost Summary'!I33</f>
        <v>0.15040221243028987</v>
      </c>
      <c r="H67" s="440">
        <f t="shared" si="4"/>
        <v>404401.98249713017</v>
      </c>
      <c r="I67" s="373">
        <f t="shared" si="5"/>
        <v>224124.20974520769</v>
      </c>
      <c r="J67" s="373">
        <f t="shared" si="6"/>
        <v>0</v>
      </c>
      <c r="K67" s="377">
        <f t="shared" si="7"/>
        <v>0</v>
      </c>
    </row>
    <row r="68" spans="2:11" x14ac:dyDescent="0.3">
      <c r="B68">
        <f>'Benefits-Cost Summary'!A34</f>
        <v>2050</v>
      </c>
      <c r="C68" s="374">
        <f>'Benefits-Cost Summary'!C34</f>
        <v>2704080.7077392396</v>
      </c>
      <c r="D68" s="372">
        <f>'Benefits-Cost Summary'!D34</f>
        <v>1498632.4942499998</v>
      </c>
      <c r="E68" s="372">
        <f>'Benefits-Cost Summary'!F34</f>
        <v>0</v>
      </c>
      <c r="F68" s="437">
        <f>'Benefits-Cost Summary'!G34</f>
        <v>0</v>
      </c>
      <c r="G68" s="445">
        <f>'Benefits-Cost Summary'!I34</f>
        <v>0.1405628153554111</v>
      </c>
      <c r="H68" s="440">
        <f t="shared" si="4"/>
        <v>380093.19722808007</v>
      </c>
      <c r="I68" s="373">
        <f t="shared" si="5"/>
        <v>210652.00257488189</v>
      </c>
      <c r="J68" s="373">
        <f t="shared" si="6"/>
        <v>0</v>
      </c>
      <c r="K68" s="377">
        <f t="shared" si="7"/>
        <v>0</v>
      </c>
    </row>
    <row r="69" spans="2:11" x14ac:dyDescent="0.3">
      <c r="B69">
        <f>'Benefits-Cost Summary'!A35</f>
        <v>2051</v>
      </c>
      <c r="C69" s="374">
        <f>'Benefits-Cost Summary'!C35</f>
        <v>2719357.9998733602</v>
      </c>
      <c r="D69" s="372">
        <f>'Benefits-Cost Summary'!D35</f>
        <v>1507099.3444999999</v>
      </c>
      <c r="E69" s="372">
        <f>'Benefits-Cost Summary'!F35</f>
        <v>0</v>
      </c>
      <c r="F69" s="437">
        <f>'Benefits-Cost Summary'!G35</f>
        <v>0</v>
      </c>
      <c r="G69" s="445">
        <f>'Benefits-Cost Summary'!I35</f>
        <v>0.13136711715458982</v>
      </c>
      <c r="H69" s="440">
        <f t="shared" si="4"/>
        <v>357234.22095463477</v>
      </c>
      <c r="I69" s="373">
        <f t="shared" si="5"/>
        <v>197983.29615253702</v>
      </c>
      <c r="J69" s="373">
        <f t="shared" si="6"/>
        <v>0</v>
      </c>
      <c r="K69" s="377">
        <f t="shared" si="7"/>
        <v>0</v>
      </c>
    </row>
    <row r="70" spans="2:11" x14ac:dyDescent="0.3">
      <c r="B70">
        <f>'Benefits-Cost Summary'!A36</f>
        <v>2052</v>
      </c>
      <c r="C70" s="374">
        <f>'Benefits-Cost Summary'!C36</f>
        <v>2734635.2920074798</v>
      </c>
      <c r="D70" s="372">
        <f>'Benefits-Cost Summary'!D36</f>
        <v>1515566.1947499998</v>
      </c>
      <c r="E70" s="372">
        <f>'Benefits-Cost Summary'!F36</f>
        <v>0</v>
      </c>
      <c r="F70" s="437">
        <f>'Benefits-Cost Summary'!G36</f>
        <v>0</v>
      </c>
      <c r="G70" s="445">
        <f>'Benefits-Cost Summary'!I36</f>
        <v>0.1227730066865325</v>
      </c>
      <c r="H70" s="440">
        <f t="shared" si="4"/>
        <v>335739.39699086209</v>
      </c>
      <c r="I70" s="373">
        <f t="shared" si="5"/>
        <v>186070.61856192435</v>
      </c>
      <c r="J70" s="373">
        <f t="shared" si="6"/>
        <v>0</v>
      </c>
      <c r="K70" s="377">
        <f t="shared" si="7"/>
        <v>0</v>
      </c>
    </row>
    <row r="71" spans="2:11" x14ac:dyDescent="0.3">
      <c r="B71">
        <f>'Benefits-Cost Summary'!A37</f>
        <v>2053</v>
      </c>
      <c r="C71" s="374">
        <f>'Benefits-Cost Summary'!C37</f>
        <v>2749912.5841415999</v>
      </c>
      <c r="D71" s="372">
        <f>'Benefits-Cost Summary'!D37</f>
        <v>1524033.0449999999</v>
      </c>
      <c r="E71" s="372">
        <f>'Benefits-Cost Summary'!F37</f>
        <v>0</v>
      </c>
      <c r="F71" s="437">
        <f>'Benefits-Cost Summary'!G37</f>
        <v>0</v>
      </c>
      <c r="G71" s="445">
        <f>'Benefits-Cost Summary'!I37</f>
        <v>0.11474112774442291</v>
      </c>
      <c r="H71" s="440">
        <f t="shared" si="4"/>
        <v>315528.07110298745</v>
      </c>
      <c r="I71" s="373">
        <f t="shared" si="5"/>
        <v>174869.27030306682</v>
      </c>
      <c r="J71" s="373">
        <f t="shared" si="6"/>
        <v>0</v>
      </c>
      <c r="K71" s="377">
        <f t="shared" si="7"/>
        <v>0</v>
      </c>
    </row>
    <row r="72" spans="2:11" x14ac:dyDescent="0.3">
      <c r="B72">
        <f>'Benefits-Cost Summary'!A38</f>
        <v>2054</v>
      </c>
      <c r="C72" s="374">
        <f>'Benefits-Cost Summary'!C38</f>
        <v>2765189.8762757196</v>
      </c>
      <c r="D72" s="372">
        <f>'Benefits-Cost Summary'!D38</f>
        <v>1532499.8952499996</v>
      </c>
      <c r="E72" s="372">
        <f>'Benefits-Cost Summary'!F38</f>
        <v>0</v>
      </c>
      <c r="F72" s="437">
        <f>'Benefits-Cost Summary'!G38</f>
        <v>0</v>
      </c>
      <c r="G72" s="445">
        <f>'Benefits-Cost Summary'!I38</f>
        <v>0.10723469882656347</v>
      </c>
      <c r="H72" s="440">
        <f t="shared" si="4"/>
        <v>296524.30358068913</v>
      </c>
      <c r="I72" s="373">
        <f t="shared" si="5"/>
        <v>164337.16471887377</v>
      </c>
      <c r="J72" s="373">
        <f t="shared" si="6"/>
        <v>0</v>
      </c>
      <c r="K72" s="377">
        <f t="shared" si="7"/>
        <v>0</v>
      </c>
    </row>
    <row r="73" spans="2:11" x14ac:dyDescent="0.3">
      <c r="B73">
        <f>'Benefits-Cost Summary'!A39</f>
        <v>2055</v>
      </c>
      <c r="C73" s="374">
        <f>'Benefits-Cost Summary'!C39</f>
        <v>2780467.1684098397</v>
      </c>
      <c r="D73" s="372">
        <f>'Benefits-Cost Summary'!D39</f>
        <v>1540966.7455000002</v>
      </c>
      <c r="E73" s="372">
        <f>'Benefits-Cost Summary'!F39</f>
        <v>0</v>
      </c>
      <c r="F73" s="437">
        <f>'Benefits-Cost Summary'!G39</f>
        <v>6500000</v>
      </c>
      <c r="G73" s="445">
        <f>'Benefits-Cost Summary'!I39</f>
        <v>0.10021934469772288</v>
      </c>
      <c r="H73" s="440">
        <f t="shared" si="4"/>
        <v>278656.59757156722</v>
      </c>
      <c r="I73" s="373">
        <f t="shared" si="5"/>
        <v>154434.67743499274</v>
      </c>
      <c r="J73" s="373">
        <f t="shared" si="6"/>
        <v>0</v>
      </c>
      <c r="K73" s="377">
        <f>F73*$G73</f>
        <v>651425.74053519871</v>
      </c>
    </row>
    <row r="74" spans="2:11" ht="15" thickBot="1" x14ac:dyDescent="0.35">
      <c r="B74" s="166" t="str">
        <f>'Benefits-Cost Summary'!B40</f>
        <v>Totals</v>
      </c>
      <c r="C74" s="375">
        <f>'Benefits-Cost Summary'!C40</f>
        <v>67327026.435066834</v>
      </c>
      <c r="D74" s="376">
        <f>'Benefits-Cost Summary'!D40</f>
        <v>37313409.051749997</v>
      </c>
      <c r="E74" s="376">
        <f>'Benefits-Cost Summary'!F40</f>
        <v>350000</v>
      </c>
      <c r="F74" s="427">
        <f>'Benefits-Cost Summary'!G40</f>
        <v>6500000</v>
      </c>
      <c r="G74" s="446"/>
      <c r="H74" s="441">
        <f>SUM(H41:H73)</f>
        <v>17441866.224457785</v>
      </c>
      <c r="I74" s="378">
        <f>SUM(I41:I73)</f>
        <v>9666481.998678064</v>
      </c>
      <c r="J74" s="378">
        <f>SUM(J41:J73)</f>
        <v>251835.95334806998</v>
      </c>
      <c r="K74" s="379">
        <f>SUM(K41:K73)</f>
        <v>651425.74053519871</v>
      </c>
    </row>
    <row r="75" spans="2:11" x14ac:dyDescent="0.3">
      <c r="C75" s="5"/>
      <c r="D75" s="5"/>
      <c r="E75" s="5"/>
      <c r="F75" s="5"/>
    </row>
  </sheetData>
  <mergeCells count="5">
    <mergeCell ref="H39:K39"/>
    <mergeCell ref="C39:F39"/>
    <mergeCell ref="G3:J3"/>
    <mergeCell ref="F8:I12"/>
    <mergeCell ref="E15:E20"/>
  </mergeCells>
  <pageMargins left="0.7" right="0.7" top="0.75" bottom="0.75" header="0.3" footer="0.3"/>
  <pageSetup orientation="landscape" r:id="rId1"/>
  <ignoredErrors>
    <ignoredError sqref="Q4 Q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A290-B147-4BCB-9531-CA0D68EE3F6F}">
  <sheetPr>
    <tabColor rgb="FFFFFF00"/>
    <pageSetUpPr fitToPage="1"/>
  </sheetPr>
  <dimension ref="A1:Y65"/>
  <sheetViews>
    <sheetView view="pageBreakPreview" zoomScale="75" zoomScaleNormal="90" zoomScaleSheetLayoutView="75" workbookViewId="0">
      <selection activeCell="A2" sqref="A2:P2"/>
    </sheetView>
  </sheetViews>
  <sheetFormatPr defaultRowHeight="14.4" x14ac:dyDescent="0.3"/>
  <cols>
    <col min="1" max="19" width="15.6640625" customWidth="1"/>
    <col min="20" max="20" width="16.109375" customWidth="1"/>
    <col min="21" max="21" width="16.88671875" customWidth="1"/>
    <col min="22" max="22" width="15" customWidth="1"/>
    <col min="23" max="23" width="34.5546875" customWidth="1"/>
  </cols>
  <sheetData>
    <row r="1" spans="1:19" ht="15.6" x14ac:dyDescent="0.3">
      <c r="A1" s="7" t="s">
        <v>160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6.2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60.75" customHeight="1" x14ac:dyDescent="0.3">
      <c r="A3" s="543" t="s">
        <v>0</v>
      </c>
      <c r="B3" s="543" t="s">
        <v>1</v>
      </c>
      <c r="C3" s="543" t="s">
        <v>161</v>
      </c>
      <c r="D3" s="543" t="s">
        <v>162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6.5" customHeight="1" x14ac:dyDescent="0.3">
      <c r="A4" s="544"/>
      <c r="B4" s="544"/>
      <c r="C4" s="544"/>
      <c r="D4" s="544"/>
      <c r="E4" s="115"/>
      <c r="H4" s="566" t="s">
        <v>64</v>
      </c>
      <c r="I4" s="566"/>
      <c r="J4" s="566" t="s">
        <v>65</v>
      </c>
      <c r="K4" s="566"/>
      <c r="L4" s="566" t="s">
        <v>66</v>
      </c>
      <c r="M4" s="566"/>
      <c r="N4" s="566" t="s">
        <v>67</v>
      </c>
      <c r="O4" s="566"/>
      <c r="P4" s="115"/>
      <c r="Q4" s="115"/>
      <c r="R4" s="115"/>
      <c r="S4" s="115"/>
    </row>
    <row r="5" spans="1:19" ht="15" thickBot="1" x14ac:dyDescent="0.35">
      <c r="A5" s="545"/>
      <c r="B5" s="545"/>
      <c r="C5" s="545"/>
      <c r="D5" s="545"/>
      <c r="E5" s="115"/>
      <c r="H5" s="5" t="s">
        <v>68</v>
      </c>
      <c r="I5" s="5" t="s">
        <v>159</v>
      </c>
      <c r="J5" s="5" t="s">
        <v>68</v>
      </c>
      <c r="K5" s="5" t="s">
        <v>159</v>
      </c>
      <c r="L5" s="5" t="s">
        <v>69</v>
      </c>
      <c r="M5" s="5" t="s">
        <v>70</v>
      </c>
      <c r="N5" s="5" t="s">
        <v>69</v>
      </c>
      <c r="O5" s="5" t="s">
        <v>70</v>
      </c>
      <c r="P5" s="115"/>
      <c r="Q5" s="115"/>
      <c r="R5" s="115"/>
      <c r="S5" s="115"/>
    </row>
    <row r="6" spans="1:19" ht="15" customHeight="1" x14ac:dyDescent="0.3">
      <c r="A6" s="254">
        <v>2020</v>
      </c>
      <c r="B6" s="281"/>
      <c r="C6" s="282"/>
      <c r="D6" s="255"/>
      <c r="G6" s="131" t="s">
        <v>71</v>
      </c>
      <c r="H6" s="121">
        <v>1789.4293059459878</v>
      </c>
      <c r="I6" s="122">
        <v>1052.0266259581083</v>
      </c>
      <c r="J6" s="122">
        <v>1371.2909255806217</v>
      </c>
      <c r="K6" s="153">
        <v>1153.8352843835362</v>
      </c>
      <c r="L6" s="132">
        <v>737.40267998787954</v>
      </c>
      <c r="M6" s="141">
        <v>217.45564119708547</v>
      </c>
      <c r="N6" s="143">
        <v>0.41208818785833462</v>
      </c>
      <c r="O6" s="123">
        <v>0.15857732093210786</v>
      </c>
    </row>
    <row r="7" spans="1:19" ht="15" customHeight="1" x14ac:dyDescent="0.3">
      <c r="A7" s="256">
        <f t="shared" ref="A7:A47" si="0">1+A6:A6</f>
        <v>2021</v>
      </c>
      <c r="B7" s="260"/>
      <c r="C7" s="261"/>
      <c r="D7" s="259"/>
      <c r="G7" s="131" t="s">
        <v>72</v>
      </c>
      <c r="H7" s="149">
        <v>59142.593317000006</v>
      </c>
      <c r="I7" s="150">
        <v>59375.827990000005</v>
      </c>
      <c r="J7" s="150">
        <v>66498.928780999995</v>
      </c>
      <c r="K7" s="154">
        <v>66472.779218999989</v>
      </c>
      <c r="L7" s="133">
        <v>-233.23467299999902</v>
      </c>
      <c r="M7" s="142">
        <v>26.149562000005972</v>
      </c>
      <c r="N7" s="144">
        <v>-3.943599019236071E-3</v>
      </c>
      <c r="O7" s="126">
        <v>3.9323283065391873E-4</v>
      </c>
    </row>
    <row r="8" spans="1:19" ht="15" customHeight="1" x14ac:dyDescent="0.3">
      <c r="A8" s="256">
        <f t="shared" si="0"/>
        <v>2022</v>
      </c>
      <c r="B8" s="260"/>
      <c r="C8" s="261"/>
      <c r="D8" s="259"/>
      <c r="F8" s="574" t="s">
        <v>31</v>
      </c>
      <c r="G8" s="131" t="s">
        <v>73</v>
      </c>
      <c r="H8" s="151">
        <v>14.802460894897765</v>
      </c>
      <c r="I8" s="152">
        <v>10.201600934706722</v>
      </c>
      <c r="J8" s="152">
        <v>10.133813951886868</v>
      </c>
      <c r="K8" s="161">
        <v>9.7215542974961195</v>
      </c>
      <c r="L8" s="155">
        <v>4.6008599601910429</v>
      </c>
      <c r="M8" s="156">
        <v>0.41225965439074841</v>
      </c>
      <c r="N8" s="157">
        <v>0.31081723457056426</v>
      </c>
      <c r="O8" s="158">
        <v>4.0681589019501155E-2</v>
      </c>
    </row>
    <row r="9" spans="1:19" ht="15" customHeight="1" x14ac:dyDescent="0.3">
      <c r="A9" s="256">
        <f t="shared" si="0"/>
        <v>2023</v>
      </c>
      <c r="B9" s="257"/>
      <c r="C9" s="258"/>
      <c r="D9" s="262"/>
      <c r="F9" s="574"/>
      <c r="G9" s="131" t="s">
        <v>74</v>
      </c>
      <c r="H9" s="124">
        <v>18.265080293892364</v>
      </c>
      <c r="I9" s="125">
        <v>9.716287315554176</v>
      </c>
      <c r="J9" s="125">
        <v>13.125223435213655</v>
      </c>
      <c r="K9" s="162">
        <v>9.9223366390310002</v>
      </c>
      <c r="L9" s="133">
        <v>8.548792978338188</v>
      </c>
      <c r="M9" s="142">
        <v>3.2028867961826553</v>
      </c>
      <c r="N9" s="144">
        <v>0.46804026266431514</v>
      </c>
      <c r="O9" s="126">
        <v>0.24402531598735544</v>
      </c>
    </row>
    <row r="10" spans="1:19" ht="15" customHeight="1" x14ac:dyDescent="0.3">
      <c r="A10" s="256">
        <f t="shared" si="0"/>
        <v>2024</v>
      </c>
      <c r="B10" s="257"/>
      <c r="C10" s="258"/>
      <c r="D10" s="262"/>
      <c r="F10" s="574" t="s">
        <v>75</v>
      </c>
      <c r="G10" s="145" t="s">
        <v>76</v>
      </c>
      <c r="H10" s="147">
        <v>1326.8438798070738</v>
      </c>
      <c r="I10" s="148">
        <v>1125.3118074302902</v>
      </c>
      <c r="J10" s="148">
        <v>1311.687954014852</v>
      </c>
      <c r="K10" s="163">
        <v>1278.4516523290099</v>
      </c>
      <c r="L10" s="132">
        <v>201.53207237678362</v>
      </c>
      <c r="M10" s="141">
        <v>33.236301685842136</v>
      </c>
      <c r="N10" s="143">
        <v>0.15188830837135628</v>
      </c>
      <c r="O10" s="123">
        <v>2.5338573541147123E-2</v>
      </c>
    </row>
    <row r="11" spans="1:19" ht="15" customHeight="1" x14ac:dyDescent="0.3">
      <c r="A11" s="256">
        <f t="shared" si="0"/>
        <v>2025</v>
      </c>
      <c r="B11" s="260"/>
      <c r="C11" s="258"/>
      <c r="D11" s="262"/>
      <c r="E11" s="2"/>
      <c r="F11" s="574"/>
      <c r="G11" s="146" t="s">
        <v>77</v>
      </c>
      <c r="H11" s="149">
        <v>450.31231893578189</v>
      </c>
      <c r="I11" s="150">
        <v>372.70645864359301</v>
      </c>
      <c r="J11" s="150">
        <v>449.5529918881025</v>
      </c>
      <c r="K11" s="154">
        <v>422.04431541735198</v>
      </c>
      <c r="L11" s="133">
        <v>77.605860292188879</v>
      </c>
      <c r="M11" s="142">
        <v>27.508676470750515</v>
      </c>
      <c r="N11" s="144">
        <v>0.17233785759091369</v>
      </c>
      <c r="O11" s="126">
        <v>6.1191176495601338E-2</v>
      </c>
      <c r="P11" s="2"/>
      <c r="Q11" s="2"/>
      <c r="R11" s="2"/>
      <c r="S11" s="2"/>
    </row>
    <row r="12" spans="1:19" ht="15" customHeight="1" x14ac:dyDescent="0.3">
      <c r="A12" s="256">
        <f t="shared" si="0"/>
        <v>2026</v>
      </c>
      <c r="B12" s="260"/>
      <c r="C12" s="258"/>
      <c r="D12" s="262"/>
      <c r="E12" s="2"/>
      <c r="F12" s="574" t="s">
        <v>78</v>
      </c>
      <c r="G12" s="145" t="s">
        <v>76</v>
      </c>
      <c r="H12" s="127">
        <v>3632.60368871625</v>
      </c>
      <c r="I12" s="128">
        <v>3080.8536594535944</v>
      </c>
      <c r="J12" s="128">
        <v>3591.1101318806614</v>
      </c>
      <c r="K12" s="164">
        <v>3500.1165237096448</v>
      </c>
      <c r="L12" s="276">
        <v>551.75002926266052</v>
      </c>
      <c r="M12" s="277">
        <v>90.993608171016604</v>
      </c>
      <c r="N12" s="143">
        <v>0.1518883083713562</v>
      </c>
      <c r="O12" s="123">
        <v>2.5338573541147102E-2</v>
      </c>
      <c r="P12" s="2"/>
      <c r="Q12" s="2"/>
      <c r="R12" s="2"/>
      <c r="S12" s="2"/>
    </row>
    <row r="13" spans="1:19" ht="15" customHeight="1" x14ac:dyDescent="0.3">
      <c r="A13" s="256">
        <f t="shared" si="0"/>
        <v>2027</v>
      </c>
      <c r="B13" s="260">
        <v>1</v>
      </c>
      <c r="C13" s="258"/>
      <c r="D13" s="262"/>
      <c r="E13" s="2"/>
      <c r="F13" s="574"/>
      <c r="G13" s="146" t="s">
        <v>77</v>
      </c>
      <c r="H13" s="129">
        <v>1391.4650655115661</v>
      </c>
      <c r="I13" s="130">
        <v>1151.6629572087024</v>
      </c>
      <c r="J13" s="130">
        <v>1389.1187449342367</v>
      </c>
      <c r="K13" s="165">
        <v>1304.1169346396175</v>
      </c>
      <c r="L13" s="278">
        <v>239.80210830286364</v>
      </c>
      <c r="M13" s="279">
        <v>85.00181029461919</v>
      </c>
      <c r="N13" s="144">
        <v>0.17233785759091366</v>
      </c>
      <c r="O13" s="126">
        <v>6.1191176495601407E-2</v>
      </c>
      <c r="P13" s="2"/>
      <c r="Q13" s="2"/>
      <c r="R13" s="2"/>
      <c r="S13" s="2"/>
    </row>
    <row r="14" spans="1:19" ht="15" customHeight="1" x14ac:dyDescent="0.3">
      <c r="A14" s="256">
        <f t="shared" si="0"/>
        <v>2028</v>
      </c>
      <c r="B14" s="260">
        <f t="shared" ref="B14:B47" si="1">B13+1</f>
        <v>2</v>
      </c>
      <c r="C14" s="258"/>
      <c r="D14" s="262"/>
      <c r="E14" s="2"/>
      <c r="F14" s="159"/>
      <c r="G14" s="137"/>
      <c r="H14" s="138"/>
      <c r="I14" s="138"/>
      <c r="J14" s="138"/>
      <c r="K14" s="138"/>
      <c r="L14" s="139"/>
      <c r="M14" s="139"/>
      <c r="N14" s="140"/>
      <c r="O14" s="140"/>
      <c r="P14" s="2"/>
      <c r="Q14" s="2"/>
      <c r="R14" s="2"/>
      <c r="S14" s="2"/>
    </row>
    <row r="15" spans="1:19" ht="15" customHeight="1" x14ac:dyDescent="0.3">
      <c r="A15" s="256">
        <f t="shared" si="0"/>
        <v>2029</v>
      </c>
      <c r="B15" s="260">
        <f t="shared" si="1"/>
        <v>3</v>
      </c>
      <c r="C15" s="258"/>
      <c r="D15" s="262"/>
      <c r="E15" s="2"/>
      <c r="F15" s="160"/>
      <c r="G15" s="25" t="s">
        <v>79</v>
      </c>
      <c r="H15" s="134"/>
      <c r="I15" s="134"/>
      <c r="J15" s="134"/>
      <c r="K15" s="134"/>
      <c r="L15" s="135"/>
      <c r="M15" s="135"/>
      <c r="N15" s="136"/>
      <c r="O15" s="136"/>
      <c r="P15" s="2"/>
      <c r="Q15" s="2"/>
      <c r="R15" s="2"/>
      <c r="S15" s="2"/>
    </row>
    <row r="16" spans="1:19" ht="15" customHeight="1" x14ac:dyDescent="0.3">
      <c r="A16" s="256">
        <f t="shared" si="0"/>
        <v>2030</v>
      </c>
      <c r="B16" s="260">
        <f t="shared" si="1"/>
        <v>4</v>
      </c>
      <c r="C16" s="258"/>
      <c r="D16" s="262"/>
      <c r="E16" s="2"/>
      <c r="F16" s="160"/>
      <c r="H16" s="166" t="s">
        <v>80</v>
      </c>
      <c r="I16" s="167">
        <f>L12</f>
        <v>551.75002926266052</v>
      </c>
      <c r="J16" s="134" t="s">
        <v>81</v>
      </c>
      <c r="K16" s="167">
        <f>M12</f>
        <v>90.993608171016604</v>
      </c>
      <c r="L16" s="134" t="s">
        <v>81</v>
      </c>
      <c r="M16" s="167">
        <f>L13</f>
        <v>239.80210830286364</v>
      </c>
      <c r="N16" s="134" t="s">
        <v>81</v>
      </c>
      <c r="O16" s="167">
        <f>M13</f>
        <v>85.00181029461919</v>
      </c>
      <c r="P16" s="2"/>
      <c r="Q16" s="2"/>
      <c r="R16" s="2"/>
      <c r="S16" s="2"/>
    </row>
    <row r="17" spans="1:19" ht="15" customHeight="1" x14ac:dyDescent="0.3">
      <c r="A17" s="256">
        <f>1+A16:A16</f>
        <v>2031</v>
      </c>
      <c r="B17" s="260">
        <f t="shared" si="1"/>
        <v>5</v>
      </c>
      <c r="C17" s="253"/>
      <c r="D17" s="263"/>
      <c r="E17" s="2"/>
      <c r="F17" s="160"/>
      <c r="G17" s="25"/>
      <c r="H17" s="166" t="s">
        <v>80</v>
      </c>
      <c r="I17" s="167">
        <f>I16+K16+M16+O16</f>
        <v>967.54755603115996</v>
      </c>
      <c r="J17" s="134"/>
      <c r="K17" s="134"/>
      <c r="L17" s="135"/>
      <c r="M17" s="135"/>
      <c r="N17" s="136"/>
      <c r="O17" s="136"/>
      <c r="P17" s="2"/>
      <c r="Q17" s="2"/>
      <c r="R17" s="2"/>
      <c r="S17" s="2"/>
    </row>
    <row r="18" spans="1:19" ht="15" customHeight="1" x14ac:dyDescent="0.3">
      <c r="A18" s="256">
        <f t="shared" si="0"/>
        <v>2032</v>
      </c>
      <c r="B18" s="260">
        <f t="shared" si="1"/>
        <v>6</v>
      </c>
      <c r="C18" s="253"/>
      <c r="D18" s="263"/>
      <c r="E18" s="2"/>
      <c r="F18" s="160"/>
      <c r="G18" s="25"/>
      <c r="H18" s="134"/>
      <c r="I18" s="134"/>
      <c r="J18" s="134"/>
      <c r="K18" s="134"/>
      <c r="L18" s="135"/>
      <c r="M18" s="135"/>
      <c r="N18" s="136"/>
      <c r="O18" s="136"/>
      <c r="P18" s="2"/>
      <c r="Q18" s="2"/>
      <c r="R18" s="2"/>
      <c r="S18" s="2"/>
    </row>
    <row r="19" spans="1:19" ht="15" customHeight="1" x14ac:dyDescent="0.3">
      <c r="A19" s="256">
        <f t="shared" si="0"/>
        <v>2033</v>
      </c>
      <c r="B19" s="260">
        <f t="shared" si="1"/>
        <v>7</v>
      </c>
      <c r="C19" s="253"/>
      <c r="D19" s="263"/>
      <c r="E19" s="116"/>
      <c r="F19" s="116"/>
      <c r="G19" s="116"/>
      <c r="H19" s="116"/>
      <c r="I19" s="5">
        <v>5</v>
      </c>
      <c r="J19" s="79" t="s">
        <v>34</v>
      </c>
      <c r="O19" s="116"/>
      <c r="P19" s="116"/>
      <c r="Q19" s="116"/>
      <c r="R19" s="116"/>
      <c r="S19" s="116"/>
    </row>
    <row r="20" spans="1:19" ht="15" customHeight="1" x14ac:dyDescent="0.3">
      <c r="A20" s="256">
        <f t="shared" si="0"/>
        <v>2034</v>
      </c>
      <c r="B20" s="260">
        <f t="shared" si="1"/>
        <v>8</v>
      </c>
      <c r="C20" s="253"/>
      <c r="D20" s="263"/>
      <c r="E20" s="116"/>
      <c r="F20" s="116"/>
      <c r="G20" s="116"/>
      <c r="H20" s="116"/>
      <c r="I20" s="81">
        <v>50</v>
      </c>
      <c r="J20" s="79" t="s">
        <v>35</v>
      </c>
      <c r="O20" s="116"/>
      <c r="P20" s="116"/>
      <c r="Q20" s="116"/>
      <c r="R20" s="116"/>
      <c r="S20" s="116"/>
    </row>
    <row r="21" spans="1:19" ht="15" customHeight="1" x14ac:dyDescent="0.3">
      <c r="A21" s="256">
        <f t="shared" si="0"/>
        <v>2035</v>
      </c>
      <c r="B21" s="260">
        <f t="shared" si="1"/>
        <v>9</v>
      </c>
      <c r="C21" s="253"/>
      <c r="D21" s="263"/>
      <c r="E21" s="116"/>
      <c r="F21" s="116"/>
      <c r="G21" s="116"/>
      <c r="H21" s="116"/>
      <c r="I21" s="5">
        <f>I20*I19</f>
        <v>250</v>
      </c>
      <c r="J21" s="79" t="s">
        <v>36</v>
      </c>
      <c r="O21" s="116"/>
      <c r="P21" s="116"/>
      <c r="Q21" s="116"/>
      <c r="R21" s="116"/>
      <c r="S21" s="116"/>
    </row>
    <row r="22" spans="1:19" ht="15" customHeight="1" x14ac:dyDescent="0.3">
      <c r="A22" s="256">
        <f t="shared" si="0"/>
        <v>2036</v>
      </c>
      <c r="B22" s="260">
        <f t="shared" si="1"/>
        <v>10</v>
      </c>
      <c r="C22" s="253"/>
      <c r="D22" s="263"/>
      <c r="E22" s="116"/>
      <c r="F22" s="116"/>
      <c r="G22" s="116"/>
      <c r="H22" s="116"/>
      <c r="I22" s="5"/>
      <c r="J22" s="79"/>
      <c r="O22" s="116"/>
      <c r="P22" s="116"/>
      <c r="Q22" s="116"/>
      <c r="R22" s="116"/>
      <c r="S22" s="116"/>
    </row>
    <row r="23" spans="1:19" ht="15" customHeight="1" x14ac:dyDescent="0.3">
      <c r="A23" s="256">
        <f t="shared" si="0"/>
        <v>2037</v>
      </c>
      <c r="B23" s="260">
        <f t="shared" si="1"/>
        <v>11</v>
      </c>
      <c r="C23" s="253"/>
      <c r="D23" s="263"/>
      <c r="E23" s="116"/>
      <c r="F23" s="116"/>
      <c r="G23" s="116"/>
      <c r="H23" s="116"/>
      <c r="I23" s="167">
        <f>I21*I17</f>
        <v>241886.88900778999</v>
      </c>
      <c r="J23" s="79" t="s">
        <v>82</v>
      </c>
      <c r="O23" s="116"/>
      <c r="P23" s="116"/>
      <c r="Q23" s="116"/>
      <c r="R23" s="116"/>
      <c r="S23" s="116"/>
    </row>
    <row r="24" spans="1:19" ht="15" customHeight="1" x14ac:dyDescent="0.3">
      <c r="A24" s="256">
        <f t="shared" si="0"/>
        <v>2038</v>
      </c>
      <c r="B24" s="260">
        <f t="shared" si="1"/>
        <v>12</v>
      </c>
      <c r="C24" s="253"/>
      <c r="D24" s="263"/>
      <c r="E24" s="116"/>
      <c r="F24" s="116"/>
      <c r="G24" s="116"/>
      <c r="H24" s="116"/>
      <c r="I24" s="5"/>
      <c r="J24" s="79" t="s">
        <v>83</v>
      </c>
      <c r="O24" s="116"/>
      <c r="P24" s="116"/>
      <c r="Q24" s="116"/>
      <c r="R24" s="116"/>
      <c r="S24" s="116"/>
    </row>
    <row r="25" spans="1:19" ht="15" customHeight="1" x14ac:dyDescent="0.3">
      <c r="A25" s="256">
        <f t="shared" si="0"/>
        <v>2039</v>
      </c>
      <c r="B25" s="260">
        <f t="shared" si="1"/>
        <v>13</v>
      </c>
      <c r="C25" s="253"/>
      <c r="D25" s="283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spans="1:19" ht="15" customHeight="1" x14ac:dyDescent="0.3">
      <c r="A26" s="256">
        <f t="shared" si="0"/>
        <v>2040</v>
      </c>
      <c r="B26" s="260">
        <f t="shared" si="1"/>
        <v>14</v>
      </c>
      <c r="C26" s="253"/>
      <c r="D26" s="280"/>
      <c r="E26" s="117"/>
      <c r="F26" s="117"/>
      <c r="G26" s="110" t="s">
        <v>28</v>
      </c>
      <c r="H26" s="109" t="s">
        <v>57</v>
      </c>
      <c r="I26" s="108">
        <v>7.4999999999999997E-3</v>
      </c>
      <c r="J26" t="s">
        <v>58</v>
      </c>
      <c r="L26" s="117"/>
      <c r="M26" s="117"/>
      <c r="N26" s="117"/>
      <c r="O26" s="117"/>
      <c r="P26" s="117"/>
      <c r="Q26" s="117"/>
      <c r="R26" s="117"/>
      <c r="S26" s="117"/>
    </row>
    <row r="27" spans="1:19" ht="15" customHeight="1" x14ac:dyDescent="0.3">
      <c r="A27" s="256">
        <f t="shared" si="0"/>
        <v>2041</v>
      </c>
      <c r="B27" s="260">
        <f t="shared" si="1"/>
        <v>15</v>
      </c>
      <c r="C27" s="253"/>
      <c r="D27" s="263"/>
      <c r="E27" s="117"/>
      <c r="F27" s="117"/>
      <c r="G27" s="110" t="s">
        <v>29</v>
      </c>
      <c r="H27" t="s">
        <v>107</v>
      </c>
      <c r="L27" s="117"/>
      <c r="M27" s="117"/>
      <c r="N27" s="117"/>
      <c r="O27" s="117"/>
      <c r="P27" s="117"/>
      <c r="Q27" s="117"/>
      <c r="R27" s="117"/>
      <c r="S27" s="117"/>
    </row>
    <row r="28" spans="1:19" ht="15" customHeight="1" x14ac:dyDescent="0.3">
      <c r="A28" s="256">
        <f t="shared" si="0"/>
        <v>2042</v>
      </c>
      <c r="B28" s="260">
        <f t="shared" si="1"/>
        <v>16</v>
      </c>
      <c r="C28" s="253"/>
      <c r="D28" s="263"/>
      <c r="E28" s="117"/>
      <c r="F28" s="117"/>
      <c r="G28" s="110"/>
      <c r="L28" s="117"/>
      <c r="M28" s="117"/>
      <c r="N28" s="117"/>
      <c r="O28" s="117"/>
      <c r="P28" s="117"/>
      <c r="Q28" s="117"/>
      <c r="R28" s="117"/>
      <c r="S28" s="117"/>
    </row>
    <row r="29" spans="1:19" ht="15" customHeight="1" x14ac:dyDescent="0.3">
      <c r="A29" s="256">
        <f t="shared" si="0"/>
        <v>2043</v>
      </c>
      <c r="B29" s="260">
        <f t="shared" si="1"/>
        <v>17</v>
      </c>
      <c r="C29" s="253"/>
      <c r="D29" s="263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spans="1:19" ht="15" customHeight="1" x14ac:dyDescent="0.3">
      <c r="A30" s="256">
        <f t="shared" si="0"/>
        <v>2044</v>
      </c>
      <c r="B30" s="260">
        <f t="shared" si="1"/>
        <v>18</v>
      </c>
      <c r="C30" s="253"/>
      <c r="D30" s="263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1:19" ht="15" customHeight="1" x14ac:dyDescent="0.3">
      <c r="A31" s="256">
        <f t="shared" si="0"/>
        <v>2045</v>
      </c>
      <c r="B31" s="260">
        <f t="shared" si="1"/>
        <v>19</v>
      </c>
      <c r="C31" s="253"/>
      <c r="D31" s="263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spans="1:19" ht="15" customHeight="1" x14ac:dyDescent="0.3">
      <c r="A32" s="256">
        <f t="shared" si="0"/>
        <v>2046</v>
      </c>
      <c r="B32" s="260">
        <f t="shared" si="1"/>
        <v>20</v>
      </c>
      <c r="C32" s="253"/>
      <c r="D32" s="263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spans="1:25" ht="15" customHeight="1" x14ac:dyDescent="0.3">
      <c r="A33" s="256">
        <f t="shared" si="0"/>
        <v>2047</v>
      </c>
      <c r="B33" s="260">
        <f t="shared" si="1"/>
        <v>21</v>
      </c>
      <c r="C33" s="253"/>
      <c r="D33" s="263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spans="1:25" ht="15" customHeight="1" x14ac:dyDescent="0.3">
      <c r="A34" s="256">
        <f t="shared" si="0"/>
        <v>2048</v>
      </c>
      <c r="B34" s="260">
        <f t="shared" si="1"/>
        <v>22</v>
      </c>
      <c r="C34" s="253"/>
      <c r="D34" s="263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spans="1:25" ht="15" customHeight="1" x14ac:dyDescent="0.3">
      <c r="A35" s="256">
        <f t="shared" si="0"/>
        <v>2049</v>
      </c>
      <c r="B35" s="260">
        <f t="shared" si="1"/>
        <v>23</v>
      </c>
      <c r="C35" s="253"/>
      <c r="D35" s="263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spans="1:25" ht="15" customHeight="1" x14ac:dyDescent="0.3">
      <c r="A36" s="256">
        <f t="shared" si="0"/>
        <v>2050</v>
      </c>
      <c r="B36" s="260">
        <f t="shared" si="1"/>
        <v>24</v>
      </c>
      <c r="C36" s="253"/>
      <c r="D36" s="263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spans="1:25" ht="15" customHeight="1" x14ac:dyDescent="0.3">
      <c r="A37" s="256">
        <f t="shared" si="0"/>
        <v>2051</v>
      </c>
      <c r="B37" s="260">
        <f t="shared" si="1"/>
        <v>25</v>
      </c>
      <c r="C37" s="253"/>
      <c r="D37" s="263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spans="1:25" ht="15" customHeight="1" x14ac:dyDescent="0.3">
      <c r="A38" s="256">
        <f t="shared" si="0"/>
        <v>2052</v>
      </c>
      <c r="B38" s="260">
        <f t="shared" si="1"/>
        <v>26</v>
      </c>
      <c r="C38" s="253"/>
      <c r="D38" s="263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1:25" ht="15" customHeight="1" x14ac:dyDescent="0.3">
      <c r="A39" s="256">
        <f t="shared" si="0"/>
        <v>2053</v>
      </c>
      <c r="B39" s="260">
        <f t="shared" si="1"/>
        <v>27</v>
      </c>
      <c r="C39" s="253"/>
      <c r="D39" s="263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spans="1:25" ht="15" customHeight="1" x14ac:dyDescent="0.3">
      <c r="A40" s="256">
        <f t="shared" si="0"/>
        <v>2054</v>
      </c>
      <c r="B40" s="260">
        <f t="shared" si="1"/>
        <v>28</v>
      </c>
      <c r="C40" s="253"/>
      <c r="D40" s="263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spans="1:25" ht="15" customHeight="1" x14ac:dyDescent="0.3">
      <c r="A41" s="256">
        <f t="shared" si="0"/>
        <v>2055</v>
      </c>
      <c r="B41" s="260">
        <f t="shared" si="1"/>
        <v>29</v>
      </c>
      <c r="C41" s="253"/>
      <c r="D41" s="263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spans="1:25" ht="15" customHeight="1" x14ac:dyDescent="0.3">
      <c r="A42" s="256">
        <f t="shared" si="0"/>
        <v>2056</v>
      </c>
      <c r="B42" s="260">
        <f t="shared" si="1"/>
        <v>30</v>
      </c>
      <c r="C42" s="253"/>
      <c r="D42" s="263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spans="1:25" ht="15" customHeight="1" x14ac:dyDescent="0.3">
      <c r="A43" s="256">
        <f t="shared" si="0"/>
        <v>2057</v>
      </c>
      <c r="B43" s="260">
        <f t="shared" si="1"/>
        <v>31</v>
      </c>
      <c r="C43" s="253"/>
      <c r="D43" s="264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56"/>
      <c r="U43" s="56"/>
      <c r="V43" s="56"/>
      <c r="W43" s="56"/>
      <c r="X43" s="56"/>
      <c r="Y43" s="56"/>
    </row>
    <row r="44" spans="1:25" ht="15" customHeight="1" x14ac:dyDescent="0.3">
      <c r="A44" s="256">
        <f t="shared" si="0"/>
        <v>2058</v>
      </c>
      <c r="B44" s="260">
        <f t="shared" si="1"/>
        <v>32</v>
      </c>
      <c r="C44" s="253"/>
      <c r="D44" s="264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56"/>
      <c r="U44" s="56"/>
      <c r="V44" s="56"/>
      <c r="W44" s="56"/>
      <c r="X44" s="56"/>
      <c r="Y44" s="56"/>
    </row>
    <row r="45" spans="1:25" ht="15" customHeight="1" x14ac:dyDescent="0.3">
      <c r="A45" s="256">
        <f t="shared" si="0"/>
        <v>2059</v>
      </c>
      <c r="B45" s="260">
        <f t="shared" si="1"/>
        <v>33</v>
      </c>
      <c r="C45" s="253"/>
      <c r="D45" s="264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56"/>
      <c r="U45" s="56"/>
      <c r="V45" s="56"/>
      <c r="W45" s="56"/>
      <c r="X45" s="56"/>
      <c r="Y45" s="56"/>
    </row>
    <row r="46" spans="1:25" ht="15" customHeight="1" x14ac:dyDescent="0.3">
      <c r="A46" s="256">
        <f t="shared" si="0"/>
        <v>2060</v>
      </c>
      <c r="B46" s="260">
        <f t="shared" si="1"/>
        <v>34</v>
      </c>
      <c r="C46" s="253"/>
      <c r="D46" s="264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25" ht="15" customHeight="1" thickBot="1" x14ac:dyDescent="0.35">
      <c r="A47" s="265">
        <f t="shared" si="0"/>
        <v>2061</v>
      </c>
      <c r="B47" s="267">
        <f t="shared" si="1"/>
        <v>35</v>
      </c>
      <c r="C47" s="268"/>
      <c r="D47" s="266"/>
    </row>
    <row r="48" spans="1:25" ht="15" customHeight="1" thickBot="1" x14ac:dyDescent="0.35">
      <c r="D48" s="112">
        <f>SUM(D6:D47)</f>
        <v>0</v>
      </c>
    </row>
    <row r="49" ht="15" customHeight="1" x14ac:dyDescent="0.3"/>
    <row r="50" ht="15" customHeight="1" x14ac:dyDescent="0.3"/>
    <row r="65" ht="15" customHeight="1" x14ac:dyDescent="0.3"/>
  </sheetData>
  <mergeCells count="11">
    <mergeCell ref="L4:M4"/>
    <mergeCell ref="N4:O4"/>
    <mergeCell ref="F8:F9"/>
    <mergeCell ref="F10:F11"/>
    <mergeCell ref="F12:F13"/>
    <mergeCell ref="J4:K4"/>
    <mergeCell ref="A3:A5"/>
    <mergeCell ref="B3:B5"/>
    <mergeCell ref="C3:C5"/>
    <mergeCell ref="D3:D5"/>
    <mergeCell ref="H4:I4"/>
  </mergeCells>
  <pageMargins left="0.35" right="0.2" top="0.75" bottom="0.75" header="0.3" footer="0.3"/>
  <pageSetup paperSize="133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F58A-6030-4CCB-A9C8-9224C405EC6E}">
  <sheetPr>
    <tabColor rgb="FFFFFF00"/>
    <pageSetUpPr fitToPage="1"/>
  </sheetPr>
  <dimension ref="A1:BX45"/>
  <sheetViews>
    <sheetView showGridLines="0" view="pageBreakPreview" topLeftCell="A12" zoomScale="85" zoomScaleNormal="100" zoomScaleSheetLayoutView="85" workbookViewId="0">
      <selection activeCell="A2" sqref="A2:P2"/>
    </sheetView>
  </sheetViews>
  <sheetFormatPr defaultColWidth="3.6640625" defaultRowHeight="18.75" customHeight="1" x14ac:dyDescent="0.25"/>
  <cols>
    <col min="1" max="1" width="4.88671875" style="209" customWidth="1"/>
    <col min="2" max="31" width="3.33203125" style="209" customWidth="1"/>
    <col min="32" max="32" width="1.33203125" style="209" customWidth="1"/>
    <col min="33" max="39" width="3.6640625" style="209"/>
    <col min="40" max="40" width="24.109375" style="209" bestFit="1" customWidth="1"/>
    <col min="41" max="41" width="17.88671875" style="209" bestFit="1" customWidth="1"/>
    <col min="42" max="42" width="12" style="209" bestFit="1" customWidth="1"/>
    <col min="43" max="43" width="18.44140625" style="209" bestFit="1" customWidth="1"/>
    <col min="44" max="44" width="17.6640625" style="209" bestFit="1" customWidth="1"/>
    <col min="45" max="75" width="3.6640625" style="209"/>
    <col min="76" max="76" width="15.33203125" style="209" bestFit="1" customWidth="1"/>
    <col min="77" max="16384" width="3.6640625" style="209"/>
  </cols>
  <sheetData>
    <row r="1" spans="1:44" ht="5.4" customHeight="1" x14ac:dyDescent="0.25">
      <c r="A1" s="232"/>
      <c r="B1" s="230"/>
      <c r="C1" s="230"/>
      <c r="D1" s="230"/>
      <c r="E1" s="230"/>
      <c r="F1" s="232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10"/>
    </row>
    <row r="2" spans="1:44" ht="14.25" customHeight="1" x14ac:dyDescent="0.3">
      <c r="A2" s="481" t="s">
        <v>119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226"/>
      <c r="Q2" s="226"/>
      <c r="R2" s="226" t="s">
        <v>118</v>
      </c>
      <c r="S2" s="225"/>
      <c r="T2" s="486" t="s">
        <v>249</v>
      </c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210"/>
    </row>
    <row r="3" spans="1:44" ht="14.25" customHeight="1" x14ac:dyDescent="0.25">
      <c r="A3" s="480" t="s">
        <v>117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226"/>
      <c r="Q3" s="226"/>
      <c r="R3" s="226" t="s">
        <v>116</v>
      </c>
      <c r="S3" s="210"/>
      <c r="T3" s="228"/>
      <c r="U3" s="231"/>
      <c r="V3" s="482">
        <f ca="1">_xlfn.SHEET()-1</f>
        <v>8</v>
      </c>
      <c r="W3" s="482"/>
      <c r="X3" s="482"/>
      <c r="Y3" s="482"/>
      <c r="Z3" s="487" t="s">
        <v>115</v>
      </c>
      <c r="AA3" s="487"/>
      <c r="AB3" s="482">
        <f ca="1">_xlfn.SHEETS()-2</f>
        <v>10</v>
      </c>
      <c r="AC3" s="482"/>
      <c r="AD3" s="482"/>
      <c r="AE3" s="482"/>
      <c r="AF3" s="210"/>
    </row>
    <row r="4" spans="1:44" ht="14.25" customHeight="1" x14ac:dyDescent="0.25">
      <c r="A4" s="480" t="s">
        <v>114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226"/>
      <c r="Q4" s="226"/>
      <c r="R4" s="226" t="s">
        <v>113</v>
      </c>
      <c r="S4" s="210"/>
      <c r="T4" s="226"/>
      <c r="U4" s="224"/>
      <c r="V4" s="482"/>
      <c r="W4" s="482"/>
      <c r="X4" s="482"/>
      <c r="Y4" s="482"/>
      <c r="Z4" s="224" t="s">
        <v>111</v>
      </c>
      <c r="AA4" s="224"/>
      <c r="AB4" s="485"/>
      <c r="AC4" s="485"/>
      <c r="AD4" s="485"/>
      <c r="AE4" s="485"/>
      <c r="AF4" s="210"/>
    </row>
    <row r="5" spans="1:44" ht="14.25" customHeight="1" x14ac:dyDescent="0.25">
      <c r="A5" s="210"/>
      <c r="B5" s="230"/>
      <c r="C5" s="229"/>
      <c r="D5" s="229"/>
      <c r="E5" s="229"/>
      <c r="F5" s="210"/>
      <c r="G5" s="227"/>
      <c r="H5" s="229"/>
      <c r="I5" s="229"/>
      <c r="J5" s="229"/>
      <c r="K5" s="229"/>
      <c r="L5" s="229"/>
      <c r="M5" s="229"/>
      <c r="N5" s="226"/>
      <c r="O5" s="226"/>
      <c r="P5" s="226"/>
      <c r="Q5" s="226"/>
      <c r="R5" s="226" t="s">
        <v>112</v>
      </c>
      <c r="S5" s="210"/>
      <c r="T5" s="226"/>
      <c r="U5" s="228"/>
      <c r="V5" s="482"/>
      <c r="W5" s="482"/>
      <c r="X5" s="482"/>
      <c r="Y5" s="482"/>
      <c r="Z5" s="224" t="s">
        <v>111</v>
      </c>
      <c r="AA5" s="224"/>
      <c r="AB5" s="483"/>
      <c r="AC5" s="484"/>
      <c r="AD5" s="484"/>
      <c r="AE5" s="484"/>
      <c r="AF5" s="210"/>
    </row>
    <row r="6" spans="1:44" ht="14.25" customHeight="1" x14ac:dyDescent="0.25">
      <c r="A6" s="210"/>
      <c r="C6" s="227"/>
      <c r="D6" s="227"/>
      <c r="E6" s="227"/>
      <c r="F6" s="210"/>
      <c r="G6" s="227"/>
      <c r="H6" s="227"/>
      <c r="I6" s="227"/>
      <c r="J6" s="227"/>
      <c r="K6" s="227"/>
      <c r="L6" s="227"/>
      <c r="M6" s="227"/>
      <c r="N6" s="226"/>
      <c r="O6" s="226"/>
      <c r="P6" s="226"/>
      <c r="Q6" s="226"/>
      <c r="R6" s="226" t="s">
        <v>110</v>
      </c>
      <c r="S6" s="225"/>
      <c r="T6" s="225"/>
      <c r="U6" s="225"/>
      <c r="V6" s="482"/>
      <c r="W6" s="482"/>
      <c r="X6" s="482"/>
      <c r="Y6" s="482"/>
      <c r="Z6" s="224" t="s">
        <v>109</v>
      </c>
      <c r="AA6" s="224"/>
      <c r="AB6" s="482" t="s">
        <v>158</v>
      </c>
      <c r="AC6" s="482"/>
      <c r="AD6" s="482"/>
      <c r="AE6" s="482"/>
      <c r="AF6" s="210"/>
    </row>
    <row r="7" spans="1:44" ht="4.5" customHeight="1" thickBot="1" x14ac:dyDescent="0.3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10"/>
    </row>
    <row r="8" spans="1:44" ht="18.75" customHeight="1" x14ac:dyDescent="0.25">
      <c r="A8" s="210"/>
      <c r="B8" s="222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0"/>
      <c r="AF8" s="210"/>
    </row>
    <row r="9" spans="1:44" ht="18.75" customHeight="1" x14ac:dyDescent="0.25">
      <c r="A9" s="210"/>
      <c r="B9" s="216"/>
      <c r="C9" s="215"/>
      <c r="D9" s="497" t="s">
        <v>250</v>
      </c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9"/>
      <c r="AD9" s="215"/>
      <c r="AE9" s="214"/>
      <c r="AF9" s="210"/>
    </row>
    <row r="10" spans="1:44" ht="18.75" customHeight="1" x14ac:dyDescent="0.25">
      <c r="A10" s="210"/>
      <c r="B10" s="216"/>
      <c r="C10" s="215"/>
      <c r="D10" s="500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2"/>
      <c r="AD10" s="215"/>
      <c r="AE10" s="214"/>
      <c r="AF10" s="210"/>
    </row>
    <row r="11" spans="1:44" ht="18.75" customHeight="1" x14ac:dyDescent="0.25">
      <c r="A11" s="210"/>
      <c r="B11" s="216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4"/>
      <c r="AF11" s="210"/>
      <c r="AN11" s="209" t="s">
        <v>227</v>
      </c>
      <c r="AO11" s="209" t="s">
        <v>228</v>
      </c>
      <c r="AQ11" s="209" t="s">
        <v>229</v>
      </c>
      <c r="AR11" s="209" t="s">
        <v>230</v>
      </c>
    </row>
    <row r="12" spans="1:44" ht="18.75" customHeight="1" x14ac:dyDescent="0.25">
      <c r="A12" s="210"/>
      <c r="B12" s="216"/>
      <c r="C12" s="218"/>
      <c r="D12" s="215" t="s">
        <v>120</v>
      </c>
      <c r="E12" s="215"/>
      <c r="F12" s="215"/>
      <c r="G12" s="215"/>
      <c r="H12" s="215"/>
      <c r="I12" s="215"/>
      <c r="J12" s="215"/>
      <c r="K12" s="233" t="s">
        <v>124</v>
      </c>
      <c r="L12" s="494">
        <v>2023</v>
      </c>
      <c r="M12" s="495"/>
      <c r="N12" s="495"/>
      <c r="O12" s="495"/>
      <c r="P12" s="496"/>
      <c r="Q12" s="215"/>
      <c r="R12" s="215"/>
      <c r="S12" s="215"/>
      <c r="T12" s="215"/>
      <c r="U12" s="215" t="s">
        <v>143</v>
      </c>
      <c r="V12" s="215"/>
      <c r="W12" s="215"/>
      <c r="X12" s="215"/>
      <c r="Y12" s="215"/>
      <c r="Z12" s="488">
        <f>L19*0</f>
        <v>0</v>
      </c>
      <c r="AA12" s="489"/>
      <c r="AB12" s="489"/>
      <c r="AC12" s="489"/>
      <c r="AD12" s="490"/>
      <c r="AE12" s="214"/>
      <c r="AF12" s="210"/>
      <c r="AN12" s="209" t="s">
        <v>231</v>
      </c>
      <c r="AO12" s="209" t="s">
        <v>232</v>
      </c>
      <c r="AP12" s="209" t="s">
        <v>233</v>
      </c>
      <c r="AQ12" s="394">
        <v>1809224</v>
      </c>
      <c r="AR12" s="394">
        <v>999854.23</v>
      </c>
    </row>
    <row r="13" spans="1:44" ht="18.75" customHeight="1" x14ac:dyDescent="0.25">
      <c r="A13" s="210"/>
      <c r="B13" s="216"/>
      <c r="C13" s="215"/>
      <c r="D13" s="215" t="s">
        <v>121</v>
      </c>
      <c r="E13" s="215"/>
      <c r="F13" s="215"/>
      <c r="G13" s="215"/>
      <c r="H13" s="215"/>
      <c r="I13" s="215"/>
      <c r="J13" s="215"/>
      <c r="K13" s="233" t="s">
        <v>124</v>
      </c>
      <c r="L13" s="494">
        <v>2024</v>
      </c>
      <c r="M13" s="495"/>
      <c r="N13" s="495"/>
      <c r="O13" s="495"/>
      <c r="P13" s="496"/>
      <c r="Q13" s="215"/>
      <c r="R13" s="215"/>
      <c r="S13" s="215"/>
      <c r="T13" s="215"/>
      <c r="U13" s="215" t="s">
        <v>141</v>
      </c>
      <c r="V13" s="215"/>
      <c r="W13" s="215"/>
      <c r="X13" s="215"/>
      <c r="Y13" s="215"/>
      <c r="Z13" s="488">
        <v>0</v>
      </c>
      <c r="AA13" s="489"/>
      <c r="AB13" s="489"/>
      <c r="AC13" s="489"/>
      <c r="AD13" s="490"/>
      <c r="AE13" s="214"/>
      <c r="AF13" s="210"/>
      <c r="AN13" s="209" t="s">
        <v>234</v>
      </c>
      <c r="AO13" s="209" t="s">
        <v>235</v>
      </c>
      <c r="AP13" s="209" t="s">
        <v>233</v>
      </c>
      <c r="AQ13" s="394">
        <v>2355374</v>
      </c>
      <c r="AR13" s="394">
        <v>1474395.17</v>
      </c>
    </row>
    <row r="14" spans="1:44" ht="18.75" customHeight="1" x14ac:dyDescent="0.25">
      <c r="A14" s="210"/>
      <c r="B14" s="216"/>
      <c r="C14" s="215"/>
      <c r="D14" s="215" t="s">
        <v>140</v>
      </c>
      <c r="E14" s="215"/>
      <c r="F14" s="215"/>
      <c r="G14" s="215"/>
      <c r="H14" s="215"/>
      <c r="I14" s="215"/>
      <c r="J14" s="215"/>
      <c r="K14" s="233" t="s">
        <v>124</v>
      </c>
      <c r="L14" s="488">
        <f>SUM(Z12:AD15)</f>
        <v>0</v>
      </c>
      <c r="M14" s="489"/>
      <c r="N14" s="489"/>
      <c r="O14" s="489"/>
      <c r="P14" s="490"/>
      <c r="Q14" s="215"/>
      <c r="R14" s="215"/>
      <c r="S14" s="217"/>
      <c r="T14" s="215"/>
      <c r="U14" s="215" t="s">
        <v>142</v>
      </c>
      <c r="V14" s="215"/>
      <c r="W14" s="215"/>
      <c r="X14" s="215"/>
      <c r="Y14" s="215"/>
      <c r="Z14" s="488">
        <v>0</v>
      </c>
      <c r="AA14" s="489"/>
      <c r="AB14" s="489"/>
      <c r="AC14" s="489"/>
      <c r="AD14" s="490"/>
      <c r="AE14" s="214"/>
      <c r="AF14" s="210"/>
      <c r="AN14" s="209" t="s">
        <v>236</v>
      </c>
      <c r="AO14" s="209" t="s">
        <v>237</v>
      </c>
      <c r="AP14" s="209" t="s">
        <v>233</v>
      </c>
      <c r="AQ14" s="394">
        <v>3103203</v>
      </c>
      <c r="AR14" s="394">
        <v>3245376.22</v>
      </c>
    </row>
    <row r="15" spans="1:44" ht="18.75" customHeight="1" x14ac:dyDescent="0.25">
      <c r="A15" s="210"/>
      <c r="B15" s="216"/>
      <c r="C15" s="215"/>
      <c r="D15" s="215" t="s">
        <v>125</v>
      </c>
      <c r="E15" s="215"/>
      <c r="F15" s="215"/>
      <c r="G15" s="215"/>
      <c r="H15" s="215"/>
      <c r="I15" s="215"/>
      <c r="J15" s="215"/>
      <c r="K15" s="233" t="s">
        <v>124</v>
      </c>
      <c r="L15" s="491">
        <f>L14/((L13-L12)+1)</f>
        <v>0</v>
      </c>
      <c r="M15" s="492"/>
      <c r="N15" s="492"/>
      <c r="O15" s="492"/>
      <c r="P15" s="493"/>
      <c r="Q15" s="215"/>
      <c r="R15" s="215"/>
      <c r="S15" s="217"/>
      <c r="T15" s="215"/>
      <c r="U15" s="272" t="s">
        <v>144</v>
      </c>
      <c r="V15" s="219"/>
      <c r="W15" s="215"/>
      <c r="X15" s="215"/>
      <c r="Y15" s="215"/>
      <c r="Z15" s="488">
        <v>0</v>
      </c>
      <c r="AA15" s="489"/>
      <c r="AB15" s="489"/>
      <c r="AC15" s="489"/>
      <c r="AD15" s="490"/>
      <c r="AE15" s="214"/>
      <c r="AF15" s="210"/>
      <c r="AN15" s="209" t="s">
        <v>238</v>
      </c>
      <c r="AO15" s="209" t="s">
        <v>239</v>
      </c>
      <c r="AP15" s="209" t="s">
        <v>233</v>
      </c>
      <c r="AQ15" s="394">
        <v>2371303</v>
      </c>
      <c r="AR15" s="394">
        <v>2306176.65</v>
      </c>
    </row>
    <row r="16" spans="1:44" ht="18.75" customHeight="1" x14ac:dyDescent="0.25">
      <c r="A16" s="210"/>
      <c r="B16" s="216"/>
      <c r="C16" s="219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7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4"/>
      <c r="AF16" s="210"/>
      <c r="AN16" s="209" t="s">
        <v>240</v>
      </c>
      <c r="AP16" s="209" t="s">
        <v>233</v>
      </c>
      <c r="AQ16" s="394">
        <v>3296650</v>
      </c>
      <c r="AR16" s="394">
        <v>2563442.91</v>
      </c>
    </row>
    <row r="17" spans="1:76" ht="18.75" customHeight="1" x14ac:dyDescent="0.25">
      <c r="A17" s="210"/>
      <c r="B17" s="216"/>
      <c r="C17" s="215"/>
      <c r="D17" s="215" t="s">
        <v>122</v>
      </c>
      <c r="E17" s="215"/>
      <c r="F17" s="215"/>
      <c r="G17" s="215"/>
      <c r="H17" s="215"/>
      <c r="I17" s="215"/>
      <c r="J17" s="215"/>
      <c r="K17" s="233" t="s">
        <v>124</v>
      </c>
      <c r="L17" s="494">
        <v>2025</v>
      </c>
      <c r="M17" s="495"/>
      <c r="N17" s="495"/>
      <c r="O17" s="495"/>
      <c r="P17" s="496"/>
      <c r="Q17" s="215"/>
      <c r="R17" s="215"/>
      <c r="S17" s="217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4"/>
      <c r="AF17" s="210"/>
    </row>
    <row r="18" spans="1:76" ht="18.75" customHeight="1" x14ac:dyDescent="0.25">
      <c r="A18" s="210"/>
      <c r="B18" s="216"/>
      <c r="C18" s="215"/>
      <c r="D18" s="215" t="s">
        <v>123</v>
      </c>
      <c r="E18" s="215"/>
      <c r="F18" s="215"/>
      <c r="G18" s="215"/>
      <c r="H18" s="215"/>
      <c r="I18" s="215"/>
      <c r="J18" s="215"/>
      <c r="K18" s="233" t="s">
        <v>124</v>
      </c>
      <c r="L18" s="494">
        <v>2026</v>
      </c>
      <c r="M18" s="495"/>
      <c r="N18" s="495"/>
      <c r="O18" s="495"/>
      <c r="P18" s="496"/>
      <c r="Q18" s="215"/>
      <c r="R18" s="215"/>
      <c r="S18" s="217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4"/>
      <c r="AF18" s="210"/>
      <c r="AP18" s="209" t="s">
        <v>10</v>
      </c>
      <c r="AQ18" s="394">
        <v>12935754</v>
      </c>
      <c r="AR18" s="394">
        <v>10589245.18</v>
      </c>
    </row>
    <row r="19" spans="1:76" ht="18.75" customHeight="1" x14ac:dyDescent="0.25">
      <c r="A19" s="210"/>
      <c r="B19" s="216"/>
      <c r="C19" s="215"/>
      <c r="D19" s="215" t="s">
        <v>126</v>
      </c>
      <c r="E19" s="215"/>
      <c r="F19" s="215"/>
      <c r="G19" s="215"/>
      <c r="H19" s="215"/>
      <c r="I19" s="215"/>
      <c r="J19" s="215"/>
      <c r="K19" s="233" t="s">
        <v>124</v>
      </c>
      <c r="L19" s="488">
        <f>ROUNDUP(AR18,-3)</f>
        <v>10590000</v>
      </c>
      <c r="M19" s="489"/>
      <c r="N19" s="489"/>
      <c r="O19" s="489"/>
      <c r="P19" s="490"/>
      <c r="Q19" s="215"/>
      <c r="R19" s="215"/>
      <c r="S19" s="217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4"/>
      <c r="AF19" s="210"/>
    </row>
    <row r="20" spans="1:76" ht="18.75" customHeight="1" x14ac:dyDescent="0.25">
      <c r="A20" s="210"/>
      <c r="B20" s="216"/>
      <c r="C20" s="218"/>
      <c r="D20" s="215" t="s">
        <v>127</v>
      </c>
      <c r="E20" s="215"/>
      <c r="F20" s="215"/>
      <c r="G20" s="215"/>
      <c r="H20" s="215"/>
      <c r="I20" s="215"/>
      <c r="J20" s="215"/>
      <c r="K20" s="233" t="s">
        <v>124</v>
      </c>
      <c r="L20" s="491">
        <f>L19/((L18-L17)+1)</f>
        <v>5295000</v>
      </c>
      <c r="M20" s="492"/>
      <c r="N20" s="492"/>
      <c r="O20" s="492"/>
      <c r="P20" s="493"/>
      <c r="Q20" s="215"/>
      <c r="R20" s="215"/>
      <c r="S20" s="217"/>
      <c r="T20" s="215"/>
      <c r="U20" s="217"/>
      <c r="V20" s="215"/>
      <c r="W20" s="215"/>
      <c r="X20" s="215"/>
      <c r="Y20" s="215"/>
      <c r="Z20" s="215"/>
      <c r="AA20" s="215"/>
      <c r="AB20" s="215"/>
      <c r="AC20" s="215"/>
      <c r="AD20" s="215"/>
      <c r="AE20" s="214"/>
      <c r="AF20" s="210"/>
    </row>
    <row r="21" spans="1:76" ht="18.75" customHeight="1" x14ac:dyDescent="0.25">
      <c r="A21" s="210"/>
      <c r="B21" s="2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7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4"/>
      <c r="AF21" s="210"/>
    </row>
    <row r="22" spans="1:76" ht="18.75" customHeight="1" x14ac:dyDescent="0.25">
      <c r="A22" s="210"/>
      <c r="B22" s="216"/>
      <c r="C22" s="215"/>
      <c r="D22" s="215" t="s">
        <v>128</v>
      </c>
      <c r="E22" s="215"/>
      <c r="F22" s="215"/>
      <c r="G22" s="215"/>
      <c r="H22" s="215"/>
      <c r="I22" s="215"/>
      <c r="J22" s="215"/>
      <c r="K22" s="233" t="s">
        <v>124</v>
      </c>
      <c r="L22" s="494">
        <v>2030</v>
      </c>
      <c r="M22" s="495"/>
      <c r="N22" s="495"/>
      <c r="O22" s="495"/>
      <c r="P22" s="496"/>
      <c r="Q22" s="215"/>
      <c r="R22" s="215"/>
      <c r="S22" s="217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4"/>
      <c r="AF22" s="210"/>
    </row>
    <row r="23" spans="1:76" ht="18.75" customHeight="1" x14ac:dyDescent="0.25">
      <c r="A23" s="210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7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4"/>
      <c r="AF23" s="210"/>
    </row>
    <row r="24" spans="1:76" ht="18.75" customHeight="1" x14ac:dyDescent="0.25">
      <c r="A24" s="210"/>
      <c r="B24" s="216"/>
      <c r="C24" s="215"/>
      <c r="D24" s="219" t="s">
        <v>130</v>
      </c>
      <c r="E24" s="215"/>
      <c r="F24" s="215"/>
      <c r="G24" s="215"/>
      <c r="H24" s="215"/>
      <c r="I24" s="215"/>
      <c r="J24" s="215"/>
      <c r="K24" s="233" t="s">
        <v>124</v>
      </c>
      <c r="L24" s="503">
        <v>30</v>
      </c>
      <c r="M24" s="504"/>
      <c r="N24" s="504"/>
      <c r="O24" s="504"/>
      <c r="P24" s="50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4"/>
      <c r="AF24" s="210"/>
    </row>
    <row r="25" spans="1:76" ht="18.75" customHeight="1" x14ac:dyDescent="0.25">
      <c r="A25" s="210"/>
      <c r="B25" s="216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4"/>
      <c r="AF25" s="210"/>
    </row>
    <row r="26" spans="1:76" ht="18.75" customHeight="1" x14ac:dyDescent="0.25">
      <c r="A26" s="210"/>
      <c r="B26" s="216"/>
      <c r="C26" s="215"/>
      <c r="D26" s="219" t="s">
        <v>131</v>
      </c>
      <c r="E26" s="215"/>
      <c r="F26" s="215"/>
      <c r="G26" s="215"/>
      <c r="H26" s="215"/>
      <c r="I26" s="215"/>
      <c r="J26" s="215"/>
      <c r="K26" s="233" t="s">
        <v>124</v>
      </c>
      <c r="L26" s="503">
        <f>L22+L24</f>
        <v>2060</v>
      </c>
      <c r="M26" s="495"/>
      <c r="N26" s="495"/>
      <c r="O26" s="495"/>
      <c r="P26" s="496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4"/>
      <c r="AF26" s="210"/>
    </row>
    <row r="27" spans="1:76" ht="18.75" customHeight="1" thickBot="1" x14ac:dyDescent="0.3">
      <c r="A27" s="210"/>
      <c r="B27" s="216"/>
      <c r="C27" s="21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15"/>
      <c r="Z27" s="215"/>
      <c r="AA27" s="215"/>
      <c r="AB27" s="215"/>
      <c r="AC27" s="215"/>
      <c r="AD27" s="215"/>
      <c r="AE27" s="214"/>
      <c r="AF27" s="210"/>
    </row>
    <row r="28" spans="1:76" ht="18.75" customHeight="1" x14ac:dyDescent="0.25">
      <c r="A28" s="210"/>
      <c r="B28" s="216"/>
      <c r="C28" s="215"/>
      <c r="D28" s="506" t="s">
        <v>0</v>
      </c>
      <c r="E28" s="507"/>
      <c r="F28" s="507"/>
      <c r="G28" s="507" t="s">
        <v>22</v>
      </c>
      <c r="H28" s="507"/>
      <c r="I28" s="507"/>
      <c r="J28" s="514" t="s">
        <v>132</v>
      </c>
      <c r="K28" s="515"/>
      <c r="L28" s="515"/>
      <c r="M28" s="515"/>
      <c r="N28" s="515"/>
      <c r="O28" s="514" t="s">
        <v>126</v>
      </c>
      <c r="P28" s="515"/>
      <c r="Q28" s="515"/>
      <c r="R28" s="515"/>
      <c r="S28" s="515"/>
      <c r="T28" s="514" t="s">
        <v>133</v>
      </c>
      <c r="U28" s="515"/>
      <c r="V28" s="515"/>
      <c r="W28" s="515"/>
      <c r="X28" s="519"/>
      <c r="Y28" s="234"/>
      <c r="Z28" s="215"/>
      <c r="AA28" s="215"/>
      <c r="AB28" s="215"/>
      <c r="AC28" s="215"/>
      <c r="AD28" s="215"/>
      <c r="AE28" s="214"/>
      <c r="AF28" s="210"/>
    </row>
    <row r="29" spans="1:76" ht="18.75" customHeight="1" thickBot="1" x14ac:dyDescent="0.3">
      <c r="A29" s="210"/>
      <c r="B29" s="216"/>
      <c r="C29" s="215"/>
      <c r="D29" s="508"/>
      <c r="E29" s="509"/>
      <c r="F29" s="509"/>
      <c r="G29" s="509"/>
      <c r="H29" s="509"/>
      <c r="I29" s="509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  <c r="W29" s="516"/>
      <c r="X29" s="520"/>
      <c r="Y29" s="234"/>
      <c r="Z29" s="215"/>
      <c r="AA29" s="215"/>
      <c r="AB29" s="215"/>
      <c r="AC29" s="215"/>
      <c r="AD29" s="215"/>
      <c r="AE29" s="214"/>
      <c r="AF29" s="210"/>
    </row>
    <row r="30" spans="1:76" ht="18.75" customHeight="1" x14ac:dyDescent="0.3">
      <c r="A30" s="210"/>
      <c r="B30" s="216"/>
      <c r="C30" s="215"/>
      <c r="D30" s="510">
        <v>2023</v>
      </c>
      <c r="E30" s="511"/>
      <c r="F30" s="511"/>
      <c r="G30" s="511">
        <v>1</v>
      </c>
      <c r="H30" s="511"/>
      <c r="I30" s="511"/>
      <c r="J30" s="521">
        <f>$L$15</f>
        <v>0</v>
      </c>
      <c r="K30" s="521"/>
      <c r="L30" s="521"/>
      <c r="M30" s="521"/>
      <c r="N30" s="521"/>
      <c r="O30" s="521"/>
      <c r="P30" s="521"/>
      <c r="Q30" s="521"/>
      <c r="R30" s="521"/>
      <c r="S30" s="521"/>
      <c r="T30" s="521">
        <f>J30+O30</f>
        <v>0</v>
      </c>
      <c r="U30" s="521"/>
      <c r="V30" s="521"/>
      <c r="W30" s="521"/>
      <c r="X30" s="523"/>
      <c r="Y30" s="234"/>
      <c r="Z30" s="215"/>
      <c r="AA30" s="215"/>
      <c r="AB30" s="215"/>
      <c r="AC30" s="215"/>
      <c r="AD30" s="215"/>
      <c r="AE30" s="214"/>
      <c r="AF30" s="210"/>
      <c r="BX30" s="358"/>
    </row>
    <row r="31" spans="1:76" ht="18.75" customHeight="1" x14ac:dyDescent="0.3">
      <c r="A31" s="210"/>
      <c r="B31" s="216"/>
      <c r="C31" s="215"/>
      <c r="D31" s="512">
        <f t="shared" ref="D31:D43" si="0">1+D30:D30</f>
        <v>2024</v>
      </c>
      <c r="E31" s="513"/>
      <c r="F31" s="513"/>
      <c r="G31" s="513">
        <f t="shared" ref="G31:G43" si="1">G30+1</f>
        <v>2</v>
      </c>
      <c r="H31" s="513"/>
      <c r="I31" s="513"/>
      <c r="J31" s="522">
        <f>$L$15</f>
        <v>0</v>
      </c>
      <c r="K31" s="522"/>
      <c r="L31" s="522"/>
      <c r="M31" s="522"/>
      <c r="N31" s="522"/>
      <c r="O31" s="522"/>
      <c r="P31" s="522"/>
      <c r="Q31" s="522"/>
      <c r="R31" s="522"/>
      <c r="S31" s="522"/>
      <c r="T31" s="524">
        <f t="shared" ref="T31:T43" si="2">J31+O31</f>
        <v>0</v>
      </c>
      <c r="U31" s="524"/>
      <c r="V31" s="524"/>
      <c r="W31" s="524"/>
      <c r="X31" s="525"/>
      <c r="Y31" s="234"/>
      <c r="Z31" s="215"/>
      <c r="AA31" s="215"/>
      <c r="AB31" s="215"/>
      <c r="AC31" s="215"/>
      <c r="AD31" s="215"/>
      <c r="AE31" s="214"/>
      <c r="AF31" s="210"/>
    </row>
    <row r="32" spans="1:76" ht="18.75" customHeight="1" x14ac:dyDescent="0.3">
      <c r="A32" s="210"/>
      <c r="B32" s="216"/>
      <c r="C32" s="215"/>
      <c r="D32" s="512">
        <f t="shared" si="0"/>
        <v>2025</v>
      </c>
      <c r="E32" s="513"/>
      <c r="F32" s="513"/>
      <c r="G32" s="513">
        <f t="shared" si="1"/>
        <v>3</v>
      </c>
      <c r="H32" s="513"/>
      <c r="I32" s="513"/>
      <c r="J32" s="522"/>
      <c r="K32" s="522"/>
      <c r="L32" s="522"/>
      <c r="M32" s="522"/>
      <c r="N32" s="522"/>
      <c r="O32" s="522">
        <f t="shared" ref="O32:O33" si="3">$L$20</f>
        <v>5295000</v>
      </c>
      <c r="P32" s="522"/>
      <c r="Q32" s="522"/>
      <c r="R32" s="522"/>
      <c r="S32" s="522"/>
      <c r="T32" s="524">
        <f t="shared" si="2"/>
        <v>5295000</v>
      </c>
      <c r="U32" s="524"/>
      <c r="V32" s="524"/>
      <c r="W32" s="524"/>
      <c r="X32" s="525"/>
      <c r="Y32" s="234"/>
      <c r="Z32" s="215"/>
      <c r="AA32" s="215"/>
      <c r="AB32" s="215"/>
      <c r="AC32" s="215"/>
      <c r="AD32" s="215"/>
      <c r="AE32" s="214"/>
      <c r="AF32" s="210"/>
    </row>
    <row r="33" spans="1:32" ht="18.75" customHeight="1" x14ac:dyDescent="0.3">
      <c r="A33" s="210"/>
      <c r="B33" s="216"/>
      <c r="C33" s="215"/>
      <c r="D33" s="512">
        <f t="shared" si="0"/>
        <v>2026</v>
      </c>
      <c r="E33" s="513"/>
      <c r="F33" s="513"/>
      <c r="G33" s="513">
        <f t="shared" si="1"/>
        <v>4</v>
      </c>
      <c r="H33" s="513"/>
      <c r="I33" s="513"/>
      <c r="J33" s="522"/>
      <c r="K33" s="522"/>
      <c r="L33" s="522"/>
      <c r="M33" s="522"/>
      <c r="N33" s="522"/>
      <c r="O33" s="522">
        <f t="shared" si="3"/>
        <v>5295000</v>
      </c>
      <c r="P33" s="522"/>
      <c r="Q33" s="522"/>
      <c r="R33" s="522"/>
      <c r="S33" s="522"/>
      <c r="T33" s="524">
        <f t="shared" si="2"/>
        <v>5295000</v>
      </c>
      <c r="U33" s="524"/>
      <c r="V33" s="524"/>
      <c r="W33" s="524"/>
      <c r="X33" s="525"/>
      <c r="Y33" s="234"/>
      <c r="Z33" s="215"/>
      <c r="AA33" s="215"/>
      <c r="AB33" s="215"/>
      <c r="AC33" s="215"/>
      <c r="AD33" s="215"/>
      <c r="AE33" s="214"/>
      <c r="AF33" s="210"/>
    </row>
    <row r="34" spans="1:32" ht="18.75" customHeight="1" x14ac:dyDescent="0.3">
      <c r="A34" s="210"/>
      <c r="B34" s="216"/>
      <c r="C34" s="218"/>
      <c r="D34" s="512">
        <f t="shared" si="0"/>
        <v>2027</v>
      </c>
      <c r="E34" s="513"/>
      <c r="F34" s="513"/>
      <c r="G34" s="513">
        <f t="shared" si="1"/>
        <v>5</v>
      </c>
      <c r="H34" s="513"/>
      <c r="I34" s="513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24">
        <f t="shared" si="2"/>
        <v>0</v>
      </c>
      <c r="U34" s="524"/>
      <c r="V34" s="524"/>
      <c r="W34" s="524"/>
      <c r="X34" s="525"/>
      <c r="Y34" s="234"/>
      <c r="Z34" s="215"/>
      <c r="AA34" s="215"/>
      <c r="AB34" s="215"/>
      <c r="AC34" s="215"/>
      <c r="AD34" s="215"/>
      <c r="AE34" s="214"/>
      <c r="AF34" s="210"/>
    </row>
    <row r="35" spans="1:32" ht="18.75" customHeight="1" x14ac:dyDescent="0.3">
      <c r="A35" s="210"/>
      <c r="B35" s="216"/>
      <c r="C35" s="215"/>
      <c r="D35" s="512">
        <f t="shared" si="0"/>
        <v>2028</v>
      </c>
      <c r="E35" s="513"/>
      <c r="F35" s="513"/>
      <c r="G35" s="513">
        <f t="shared" si="1"/>
        <v>6</v>
      </c>
      <c r="H35" s="513"/>
      <c r="I35" s="513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4">
        <f t="shared" si="2"/>
        <v>0</v>
      </c>
      <c r="U35" s="524"/>
      <c r="V35" s="524"/>
      <c r="W35" s="524"/>
      <c r="X35" s="525"/>
      <c r="Y35" s="234"/>
      <c r="Z35" s="215"/>
      <c r="AA35" s="215"/>
      <c r="AB35" s="215"/>
      <c r="AC35" s="215"/>
      <c r="AD35" s="215"/>
      <c r="AE35" s="214"/>
      <c r="AF35" s="210"/>
    </row>
    <row r="36" spans="1:32" ht="18.75" customHeight="1" x14ac:dyDescent="0.3">
      <c r="A36" s="210"/>
      <c r="B36" s="216"/>
      <c r="C36" s="215"/>
      <c r="D36" s="512">
        <f t="shared" si="0"/>
        <v>2029</v>
      </c>
      <c r="E36" s="513"/>
      <c r="F36" s="513"/>
      <c r="G36" s="513">
        <f t="shared" si="1"/>
        <v>7</v>
      </c>
      <c r="H36" s="513"/>
      <c r="I36" s="513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4">
        <f t="shared" si="2"/>
        <v>0</v>
      </c>
      <c r="U36" s="524"/>
      <c r="V36" s="524"/>
      <c r="W36" s="524"/>
      <c r="X36" s="525"/>
      <c r="Y36" s="234"/>
      <c r="Z36" s="215"/>
      <c r="AA36" s="215"/>
      <c r="AB36" s="215"/>
      <c r="AC36" s="215"/>
      <c r="AD36" s="215"/>
      <c r="AE36" s="214"/>
      <c r="AF36" s="210"/>
    </row>
    <row r="37" spans="1:32" ht="18.75" customHeight="1" x14ac:dyDescent="0.3">
      <c r="A37" s="210"/>
      <c r="B37" s="216"/>
      <c r="C37" s="215"/>
      <c r="D37" s="512">
        <f t="shared" si="0"/>
        <v>2030</v>
      </c>
      <c r="E37" s="513"/>
      <c r="F37" s="513"/>
      <c r="G37" s="513">
        <f t="shared" si="1"/>
        <v>8</v>
      </c>
      <c r="H37" s="513"/>
      <c r="I37" s="513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4">
        <f t="shared" si="2"/>
        <v>0</v>
      </c>
      <c r="U37" s="524"/>
      <c r="V37" s="524"/>
      <c r="W37" s="524"/>
      <c r="X37" s="525"/>
      <c r="Y37" s="234"/>
      <c r="Z37" s="215"/>
      <c r="AA37" s="215"/>
      <c r="AB37" s="215"/>
      <c r="AC37" s="215"/>
      <c r="AD37" s="215"/>
      <c r="AE37" s="214"/>
      <c r="AF37" s="210"/>
    </row>
    <row r="38" spans="1:32" ht="18.75" customHeight="1" x14ac:dyDescent="0.3">
      <c r="A38" s="210"/>
      <c r="B38" s="216"/>
      <c r="C38" s="215"/>
      <c r="D38" s="512">
        <f t="shared" si="0"/>
        <v>2031</v>
      </c>
      <c r="E38" s="513"/>
      <c r="F38" s="513"/>
      <c r="G38" s="513">
        <f t="shared" si="1"/>
        <v>9</v>
      </c>
      <c r="H38" s="513"/>
      <c r="I38" s="513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4">
        <f t="shared" si="2"/>
        <v>0</v>
      </c>
      <c r="U38" s="524"/>
      <c r="V38" s="524"/>
      <c r="W38" s="524"/>
      <c r="X38" s="525"/>
      <c r="Y38" s="234"/>
      <c r="Z38" s="215"/>
      <c r="AA38" s="215"/>
      <c r="AB38" s="215"/>
      <c r="AC38" s="215"/>
      <c r="AD38" s="215"/>
      <c r="AE38" s="214"/>
      <c r="AF38" s="210"/>
    </row>
    <row r="39" spans="1:32" ht="18.75" customHeight="1" x14ac:dyDescent="0.3">
      <c r="A39" s="210"/>
      <c r="B39" s="216"/>
      <c r="C39" s="215"/>
      <c r="D39" s="512">
        <f t="shared" si="0"/>
        <v>2032</v>
      </c>
      <c r="E39" s="513"/>
      <c r="F39" s="513"/>
      <c r="G39" s="513">
        <f t="shared" si="1"/>
        <v>10</v>
      </c>
      <c r="H39" s="513"/>
      <c r="I39" s="513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4">
        <f t="shared" si="2"/>
        <v>0</v>
      </c>
      <c r="U39" s="524"/>
      <c r="V39" s="524"/>
      <c r="W39" s="524"/>
      <c r="X39" s="525"/>
      <c r="Y39" s="234"/>
      <c r="Z39" s="215"/>
      <c r="AA39" s="215"/>
      <c r="AB39" s="215"/>
      <c r="AC39" s="215"/>
      <c r="AD39" s="215"/>
      <c r="AE39" s="214"/>
      <c r="AF39" s="210"/>
    </row>
    <row r="40" spans="1:32" ht="18.75" customHeight="1" x14ac:dyDescent="0.3">
      <c r="A40" s="210"/>
      <c r="B40" s="216"/>
      <c r="C40" s="215"/>
      <c r="D40" s="512">
        <f t="shared" si="0"/>
        <v>2033</v>
      </c>
      <c r="E40" s="513"/>
      <c r="F40" s="513"/>
      <c r="G40" s="513">
        <f t="shared" si="1"/>
        <v>11</v>
      </c>
      <c r="H40" s="513"/>
      <c r="I40" s="513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4">
        <f t="shared" si="2"/>
        <v>0</v>
      </c>
      <c r="U40" s="524"/>
      <c r="V40" s="524"/>
      <c r="W40" s="524"/>
      <c r="X40" s="525"/>
      <c r="Y40" s="234"/>
      <c r="Z40" s="215"/>
      <c r="AA40" s="215"/>
      <c r="AB40" s="215"/>
      <c r="AC40" s="215"/>
      <c r="AD40" s="215"/>
      <c r="AE40" s="214"/>
      <c r="AF40" s="210"/>
    </row>
    <row r="41" spans="1:32" ht="18.75" customHeight="1" x14ac:dyDescent="0.3">
      <c r="A41" s="210"/>
      <c r="B41" s="216"/>
      <c r="C41" s="215"/>
      <c r="D41" s="512">
        <f t="shared" si="0"/>
        <v>2034</v>
      </c>
      <c r="E41" s="513"/>
      <c r="F41" s="513"/>
      <c r="G41" s="513">
        <f t="shared" si="1"/>
        <v>12</v>
      </c>
      <c r="H41" s="513"/>
      <c r="I41" s="513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4">
        <f t="shared" si="2"/>
        <v>0</v>
      </c>
      <c r="U41" s="524"/>
      <c r="V41" s="524"/>
      <c r="W41" s="524"/>
      <c r="X41" s="525"/>
      <c r="Y41" s="234"/>
      <c r="Z41" s="215"/>
      <c r="AA41" s="215"/>
      <c r="AB41" s="215"/>
      <c r="AC41" s="215"/>
      <c r="AD41" s="215"/>
      <c r="AE41" s="214"/>
      <c r="AF41" s="210"/>
    </row>
    <row r="42" spans="1:32" ht="18.75" customHeight="1" x14ac:dyDescent="0.3">
      <c r="A42" s="210"/>
      <c r="B42" s="216"/>
      <c r="C42" s="215"/>
      <c r="D42" s="512">
        <f t="shared" si="0"/>
        <v>2035</v>
      </c>
      <c r="E42" s="513"/>
      <c r="F42" s="513"/>
      <c r="G42" s="513">
        <f t="shared" si="1"/>
        <v>13</v>
      </c>
      <c r="H42" s="513"/>
      <c r="I42" s="513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4">
        <f t="shared" si="2"/>
        <v>0</v>
      </c>
      <c r="U42" s="524"/>
      <c r="V42" s="524"/>
      <c r="W42" s="524"/>
      <c r="X42" s="525"/>
      <c r="Y42" s="234"/>
      <c r="Z42" s="215"/>
      <c r="AA42" s="215"/>
      <c r="AB42" s="215"/>
      <c r="AC42" s="215"/>
      <c r="AD42" s="215"/>
      <c r="AE42" s="214"/>
      <c r="AF42" s="210"/>
    </row>
    <row r="43" spans="1:32" ht="18.75" customHeight="1" thickBot="1" x14ac:dyDescent="0.35">
      <c r="A43" s="210"/>
      <c r="B43" s="216"/>
      <c r="C43" s="215"/>
      <c r="D43" s="517">
        <f t="shared" si="0"/>
        <v>2036</v>
      </c>
      <c r="E43" s="518"/>
      <c r="F43" s="518"/>
      <c r="G43" s="518">
        <f t="shared" si="1"/>
        <v>14</v>
      </c>
      <c r="H43" s="518"/>
      <c r="I43" s="518"/>
      <c r="J43" s="526"/>
      <c r="K43" s="526"/>
      <c r="L43" s="526"/>
      <c r="M43" s="526"/>
      <c r="N43" s="526"/>
      <c r="O43" s="526"/>
      <c r="P43" s="526"/>
      <c r="Q43" s="526"/>
      <c r="R43" s="526"/>
      <c r="S43" s="526"/>
      <c r="T43" s="527">
        <f t="shared" si="2"/>
        <v>0</v>
      </c>
      <c r="U43" s="527"/>
      <c r="V43" s="527"/>
      <c r="W43" s="527"/>
      <c r="X43" s="528"/>
      <c r="Y43" s="234"/>
      <c r="Z43" s="215"/>
      <c r="AA43" s="215"/>
      <c r="AB43" s="215"/>
      <c r="AC43" s="215"/>
      <c r="AD43" s="215"/>
      <c r="AE43" s="214"/>
      <c r="AF43" s="210"/>
    </row>
    <row r="44" spans="1:32" ht="18.75" customHeight="1" thickBot="1" x14ac:dyDescent="0.3">
      <c r="A44" s="210"/>
      <c r="B44" s="213"/>
      <c r="C44" s="212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12"/>
      <c r="Z44" s="212"/>
      <c r="AA44" s="212"/>
      <c r="AB44" s="212"/>
      <c r="AC44" s="212"/>
      <c r="AD44" s="212"/>
      <c r="AE44" s="211"/>
      <c r="AF44" s="210"/>
    </row>
    <row r="45" spans="1:32" ht="5.25" customHeight="1" x14ac:dyDescent="0.25">
      <c r="A45" s="210"/>
      <c r="B45" s="210"/>
      <c r="C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</row>
  </sheetData>
  <mergeCells count="104">
    <mergeCell ref="D43:F43"/>
    <mergeCell ref="G43:I43"/>
    <mergeCell ref="J43:N43"/>
    <mergeCell ref="O43:S43"/>
    <mergeCell ref="T43:X43"/>
    <mergeCell ref="D41:F41"/>
    <mergeCell ref="G41:I41"/>
    <mergeCell ref="J41:N41"/>
    <mergeCell ref="O41:S41"/>
    <mergeCell ref="T41:X41"/>
    <mergeCell ref="D42:F42"/>
    <mergeCell ref="G42:I42"/>
    <mergeCell ref="J42:N42"/>
    <mergeCell ref="O42:S42"/>
    <mergeCell ref="T42:X42"/>
    <mergeCell ref="D39:F39"/>
    <mergeCell ref="G39:I39"/>
    <mergeCell ref="J39:N39"/>
    <mergeCell ref="O39:S39"/>
    <mergeCell ref="T39:X39"/>
    <mergeCell ref="D40:F40"/>
    <mergeCell ref="G40:I40"/>
    <mergeCell ref="J40:N40"/>
    <mergeCell ref="O40:S40"/>
    <mergeCell ref="T40:X40"/>
    <mergeCell ref="D37:F37"/>
    <mergeCell ref="G37:I37"/>
    <mergeCell ref="J37:N37"/>
    <mergeCell ref="O37:S37"/>
    <mergeCell ref="T37:X37"/>
    <mergeCell ref="D38:F38"/>
    <mergeCell ref="G38:I38"/>
    <mergeCell ref="J38:N38"/>
    <mergeCell ref="O38:S38"/>
    <mergeCell ref="T38:X38"/>
    <mergeCell ref="D35:F35"/>
    <mergeCell ref="G35:I35"/>
    <mergeCell ref="J35:N35"/>
    <mergeCell ref="O35:S35"/>
    <mergeCell ref="T35:X35"/>
    <mergeCell ref="D36:F36"/>
    <mergeCell ref="G36:I36"/>
    <mergeCell ref="J36:N36"/>
    <mergeCell ref="O36:S36"/>
    <mergeCell ref="T36:X36"/>
    <mergeCell ref="D33:F33"/>
    <mergeCell ref="G33:I33"/>
    <mergeCell ref="J33:N33"/>
    <mergeCell ref="O33:S33"/>
    <mergeCell ref="T33:X33"/>
    <mergeCell ref="D34:F34"/>
    <mergeCell ref="G34:I34"/>
    <mergeCell ref="J34:N34"/>
    <mergeCell ref="O34:S34"/>
    <mergeCell ref="T34:X34"/>
    <mergeCell ref="D31:F31"/>
    <mergeCell ref="G31:I31"/>
    <mergeCell ref="J31:N31"/>
    <mergeCell ref="O31:S31"/>
    <mergeCell ref="T31:X31"/>
    <mergeCell ref="D32:F32"/>
    <mergeCell ref="G32:I32"/>
    <mergeCell ref="J32:N32"/>
    <mergeCell ref="O32:S32"/>
    <mergeCell ref="T32:X32"/>
    <mergeCell ref="T28:X29"/>
    <mergeCell ref="D30:F30"/>
    <mergeCell ref="G30:I30"/>
    <mergeCell ref="J30:N30"/>
    <mergeCell ref="O30:S30"/>
    <mergeCell ref="T30:X30"/>
    <mergeCell ref="L22:P22"/>
    <mergeCell ref="L24:P24"/>
    <mergeCell ref="L26:P26"/>
    <mergeCell ref="D28:F29"/>
    <mergeCell ref="G28:I29"/>
    <mergeCell ref="J28:N29"/>
    <mergeCell ref="O28:S29"/>
    <mergeCell ref="L15:P15"/>
    <mergeCell ref="Z15:AD15"/>
    <mergeCell ref="L17:P17"/>
    <mergeCell ref="L18:P18"/>
    <mergeCell ref="L19:P19"/>
    <mergeCell ref="L20:P20"/>
    <mergeCell ref="D9:AC10"/>
    <mergeCell ref="L12:P12"/>
    <mergeCell ref="Z12:AD12"/>
    <mergeCell ref="L13:P13"/>
    <mergeCell ref="Z13:AD13"/>
    <mergeCell ref="L14:P14"/>
    <mergeCell ref="Z14:AD14"/>
    <mergeCell ref="A4:O4"/>
    <mergeCell ref="V4:Y4"/>
    <mergeCell ref="AB4:AE4"/>
    <mergeCell ref="V5:Y5"/>
    <mergeCell ref="AB5:AE5"/>
    <mergeCell ref="V6:Y6"/>
    <mergeCell ref="AB6:AE6"/>
    <mergeCell ref="A2:O2"/>
    <mergeCell ref="T2:AE2"/>
    <mergeCell ref="A3:O3"/>
    <mergeCell ref="V3:Y3"/>
    <mergeCell ref="Z3:AA3"/>
    <mergeCell ref="AB3:AE3"/>
  </mergeCells>
  <hyperlinks>
    <hyperlink ref="A4" r:id="rId1" xr:uid="{92691A8F-D4D7-4B01-92C6-045DDEEA221E}"/>
  </hyperlinks>
  <pageMargins left="0.25" right="0.2" top="0.25" bottom="0.25" header="0" footer="0"/>
  <pageSetup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Benefits-Cost Summary</vt:lpstr>
      <vt:lpstr>Funding Assumptions</vt:lpstr>
      <vt:lpstr>Residual Bridge Value</vt:lpstr>
      <vt:lpstr>Vehicle Operating Cost Savings</vt:lpstr>
      <vt:lpstr>Travel Times Savings</vt:lpstr>
      <vt:lpstr>VHT Savings</vt:lpstr>
      <vt:lpstr>Report Charts</vt:lpstr>
      <vt:lpstr>Health Benefits</vt:lpstr>
      <vt:lpstr>Operation &amp; Maintenance Cost</vt:lpstr>
      <vt:lpstr>Crash Costs Summary</vt:lpstr>
      <vt:lpstr>Crash Costs- SW Barrier</vt:lpstr>
      <vt:lpstr>Crash Costs</vt:lpstr>
      <vt:lpstr>'Benefits-Cost Summary'!Print_Area</vt:lpstr>
      <vt:lpstr>'Crash Costs'!Print_Area</vt:lpstr>
      <vt:lpstr>'Crash Costs Summary'!Print_Area</vt:lpstr>
      <vt:lpstr>'Crash Costs- SW Barrier'!Print_Area</vt:lpstr>
      <vt:lpstr>'Funding Assumptions'!Print_Area</vt:lpstr>
      <vt:lpstr>'Health Benefits'!Print_Area</vt:lpstr>
      <vt:lpstr>'Operation &amp; Maintenance Cost'!Print_Area</vt:lpstr>
      <vt:lpstr>'Residual Bridge Value'!Print_Area</vt:lpstr>
      <vt:lpstr>'Travel Times Savings'!Print_Area</vt:lpstr>
      <vt:lpstr>'Vehicle Operating Cost Savings'!Print_Area</vt:lpstr>
      <vt:lpstr>'VHT Savings'!Print_Area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jsantacruce</dc:creator>
  <cp:lastModifiedBy>Theron Matthews</cp:lastModifiedBy>
  <cp:lastPrinted>2023-07-11T18:05:44Z</cp:lastPrinted>
  <dcterms:created xsi:type="dcterms:W3CDTF">2016-03-17T13:01:38Z</dcterms:created>
  <dcterms:modified xsi:type="dcterms:W3CDTF">2023-08-10T18:50:27Z</dcterms:modified>
</cp:coreProperties>
</file>